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illaume\Downloads\"/>
    </mc:Choice>
  </mc:AlternateContent>
  <bookViews>
    <workbookView xWindow="0" yWindow="0" windowWidth="28800" windowHeight="12432" tabRatio="314" firstSheet="2" activeTab="2"/>
  </bookViews>
  <sheets>
    <sheet name="Données" sheetId="2" state="hidden" r:id="rId1"/>
    <sheet name="AGE" sheetId="6" state="hidden" r:id="rId2"/>
    <sheet name="Visualisation" sheetId="3" r:id="rId3"/>
    <sheet name="Liste déroulante" sheetId="4" state="hidden" r:id="rId4"/>
  </sheets>
  <definedNames>
    <definedName name="Aquathlon">'Liste déroulante'!$K$5:$S$5</definedName>
    <definedName name="Bike_and_Run">'Liste déroulante'!$K$13:$R$13</definedName>
    <definedName name="Catégorie_d_âge">'Liste déroulante'!$E$4:$E$11</definedName>
    <definedName name="Cross_Duathlon">'Liste déroulante'!$K$6:$S$6</definedName>
    <definedName name="Cross_Triathlon">'Liste déroulante'!$K$7:$S$7</definedName>
    <definedName name="Disciplines_m">'Liste déroulante'!$J$5:$J$12</definedName>
    <definedName name="Disciplines_t">'Liste déroulante'!$J$13:$J$14</definedName>
    <definedName name="Duathlon">'Liste déroulante'!$K$8:$S$8</definedName>
    <definedName name="Duathlon_des_neiges">'Liste déroulante'!$K$9:$Q$9</definedName>
    <definedName name="Raid">'Liste déroulante'!$K$14:$T$14</definedName>
    <definedName name="Swim_Run">'Liste déroulante'!$K$12:$O$12</definedName>
    <definedName name="Triathlon">'Liste déroulante'!$K$10:$T$10</definedName>
    <definedName name="Triathon_des_neiges">'Liste déroulante'!$K$11:$Q$11</definedName>
    <definedName name="Type_d_épreuve">'Liste déroulante'!$B$4:$B$11</definedName>
  </definedNames>
  <calcPr calcId="162913"/>
</workbook>
</file>

<file path=xl/calcChain.xml><?xml version="1.0" encoding="utf-8"?>
<calcChain xmlns="http://schemas.openxmlformats.org/spreadsheetml/2006/main">
  <c r="U186" i="2" l="1"/>
  <c r="U185" i="2"/>
  <c r="U150" i="2"/>
  <c r="U151" i="2"/>
  <c r="U149" i="2"/>
  <c r="U114" i="2"/>
  <c r="U115" i="2"/>
  <c r="U113" i="2"/>
  <c r="U74" i="2"/>
  <c r="U75" i="2"/>
  <c r="U73" i="2"/>
  <c r="U78" i="2"/>
  <c r="U79" i="2"/>
  <c r="U77" i="2"/>
  <c r="U42" i="2"/>
  <c r="U43" i="2"/>
  <c r="U41" i="2"/>
  <c r="U38" i="2"/>
  <c r="U39" i="2"/>
  <c r="U37" i="2"/>
  <c r="Y95" i="2" l="1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1" i="2"/>
  <c r="Y42" i="2"/>
  <c r="Y43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7" i="2"/>
  <c r="Y78" i="2"/>
  <c r="Y79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U219" i="2" l="1"/>
  <c r="U218" i="2"/>
  <c r="U217" i="2"/>
  <c r="U215" i="2"/>
  <c r="U214" i="2"/>
  <c r="U213" i="2"/>
  <c r="U207" i="2"/>
  <c r="U206" i="2"/>
  <c r="U205" i="2"/>
  <c r="U203" i="2"/>
  <c r="U202" i="2"/>
  <c r="U201" i="2"/>
  <c r="U187" i="2" l="1"/>
  <c r="U183" i="2"/>
  <c r="U179" i="2"/>
  <c r="U175" i="2"/>
  <c r="U167" i="2"/>
  <c r="U163" i="2"/>
  <c r="U159" i="2"/>
  <c r="D2" i="6" l="1"/>
  <c r="I2" i="6" s="1"/>
  <c r="V7" i="2" s="1"/>
  <c r="N19" i="3" l="1"/>
  <c r="Q11" i="3"/>
  <c r="V45" i="2"/>
  <c r="V221" i="2"/>
  <c r="V189" i="2"/>
  <c r="V117" i="2"/>
  <c r="V119" i="2"/>
  <c r="V47" i="2"/>
  <c r="V118" i="2"/>
  <c r="V46" i="2"/>
  <c r="V156" i="2"/>
  <c r="V84" i="2"/>
  <c r="V155" i="2"/>
  <c r="V83" i="2"/>
  <c r="V154" i="2"/>
  <c r="V82" i="2"/>
  <c r="V153" i="2"/>
  <c r="V81" i="2"/>
  <c r="V120" i="2"/>
  <c r="V48" i="2"/>
  <c r="V8" i="2"/>
  <c r="V5" i="2"/>
  <c r="V6" i="2"/>
  <c r="J9" i="6"/>
  <c r="J8" i="6"/>
  <c r="J7" i="6"/>
  <c r="J6" i="6"/>
  <c r="J5" i="6"/>
  <c r="J4" i="6"/>
  <c r="J11" i="6"/>
  <c r="J3" i="6"/>
  <c r="J10" i="6"/>
  <c r="J2" i="6"/>
  <c r="I7" i="6"/>
  <c r="I6" i="6"/>
  <c r="I5" i="6"/>
  <c r="I4" i="6"/>
  <c r="I10" i="6"/>
  <c r="I9" i="6"/>
  <c r="I8" i="6"/>
  <c r="I11" i="6"/>
  <c r="I3" i="6"/>
  <c r="V159" i="2" s="1"/>
  <c r="M242" i="2"/>
  <c r="J242" i="2"/>
  <c r="H242" i="2"/>
  <c r="N242" i="2" s="1"/>
  <c r="O242" i="2" s="1"/>
  <c r="D242" i="2"/>
  <c r="M240" i="2"/>
  <c r="H240" i="2"/>
  <c r="D240" i="2"/>
  <c r="M238" i="2"/>
  <c r="H238" i="2"/>
  <c r="D238" i="2"/>
  <c r="M236" i="2"/>
  <c r="H236" i="2"/>
  <c r="D236" i="2"/>
  <c r="M234" i="2"/>
  <c r="N234" i="2" s="1"/>
  <c r="R234" i="2" s="1"/>
  <c r="H234" i="2"/>
  <c r="D234" i="2"/>
  <c r="M232" i="2"/>
  <c r="H232" i="2"/>
  <c r="D232" i="2"/>
  <c r="N238" i="2" l="1"/>
  <c r="O238" i="2" s="1"/>
  <c r="Q240" i="2" s="1"/>
  <c r="W5" i="2"/>
  <c r="W6" i="2"/>
  <c r="W46" i="2"/>
  <c r="W118" i="2"/>
  <c r="W83" i="2"/>
  <c r="W7" i="2"/>
  <c r="W47" i="2"/>
  <c r="W119" i="2"/>
  <c r="W155" i="2"/>
  <c r="W8" i="2"/>
  <c r="W48" i="2"/>
  <c r="W120" i="2"/>
  <c r="W189" i="2"/>
  <c r="W221" i="2"/>
  <c r="W81" i="2"/>
  <c r="W153" i="2"/>
  <c r="W82" i="2"/>
  <c r="W154" i="2"/>
  <c r="W117" i="2"/>
  <c r="W84" i="2"/>
  <c r="W156" i="2"/>
  <c r="W45" i="2"/>
  <c r="W30" i="2"/>
  <c r="W70" i="2"/>
  <c r="W142" i="2"/>
  <c r="W206" i="2"/>
  <c r="W107" i="2"/>
  <c r="W179" i="2"/>
  <c r="W227" i="2"/>
  <c r="W31" i="2"/>
  <c r="W71" i="2"/>
  <c r="W143" i="2"/>
  <c r="W207" i="2"/>
  <c r="W219" i="2"/>
  <c r="W205" i="2"/>
  <c r="W32" i="2"/>
  <c r="W72" i="2"/>
  <c r="W144" i="2"/>
  <c r="W208" i="2"/>
  <c r="W141" i="2"/>
  <c r="W105" i="2"/>
  <c r="W177" i="2"/>
  <c r="W217" i="2"/>
  <c r="W195" i="2"/>
  <c r="W106" i="2"/>
  <c r="W178" i="2"/>
  <c r="W218" i="2"/>
  <c r="W235" i="2"/>
  <c r="W108" i="2"/>
  <c r="W180" i="2"/>
  <c r="W220" i="2"/>
  <c r="W236" i="2"/>
  <c r="W29" i="2"/>
  <c r="W69" i="2"/>
  <c r="W102" i="2"/>
  <c r="W174" i="2"/>
  <c r="W214" i="2"/>
  <c r="W173" i="2"/>
  <c r="W103" i="2"/>
  <c r="W175" i="2"/>
  <c r="W215" i="2"/>
  <c r="W101" i="2"/>
  <c r="W104" i="2"/>
  <c r="W176" i="2"/>
  <c r="W216" i="2"/>
  <c r="W233" i="2"/>
  <c r="W27" i="2"/>
  <c r="W67" i="2"/>
  <c r="W25" i="2"/>
  <c r="W65" i="2"/>
  <c r="W137" i="2"/>
  <c r="W201" i="2"/>
  <c r="W213" i="2"/>
  <c r="W26" i="2"/>
  <c r="W66" i="2"/>
  <c r="W138" i="2"/>
  <c r="W194" i="2"/>
  <c r="W202" i="2"/>
  <c r="W226" i="2"/>
  <c r="W234" i="2"/>
  <c r="W139" i="2"/>
  <c r="W203" i="2"/>
  <c r="W28" i="2"/>
  <c r="W68" i="2"/>
  <c r="W140" i="2"/>
  <c r="W204" i="2"/>
  <c r="W38" i="2"/>
  <c r="W78" i="2"/>
  <c r="W150" i="2"/>
  <c r="W229" i="2"/>
  <c r="W39" i="2"/>
  <c r="W79" i="2"/>
  <c r="W151" i="2"/>
  <c r="W239" i="2"/>
  <c r="W115" i="2"/>
  <c r="W187" i="2"/>
  <c r="W40" i="2"/>
  <c r="W80" i="2"/>
  <c r="W152" i="2"/>
  <c r="W240" i="2"/>
  <c r="W113" i="2"/>
  <c r="W185" i="2"/>
  <c r="W114" i="2"/>
  <c r="W186" i="2"/>
  <c r="W149" i="2"/>
  <c r="W116" i="2"/>
  <c r="W188" i="2"/>
  <c r="W37" i="2"/>
  <c r="W77" i="2"/>
  <c r="W110" i="2"/>
  <c r="W182" i="2"/>
  <c r="W238" i="2"/>
  <c r="W109" i="2"/>
  <c r="W111" i="2"/>
  <c r="W183" i="2"/>
  <c r="W35" i="2"/>
  <c r="W112" i="2"/>
  <c r="W184" i="2"/>
  <c r="W147" i="2"/>
  <c r="W33" i="2"/>
  <c r="W73" i="2"/>
  <c r="W145" i="2"/>
  <c r="W34" i="2"/>
  <c r="W74" i="2"/>
  <c r="W146" i="2"/>
  <c r="W75" i="2"/>
  <c r="W36" i="2"/>
  <c r="W76" i="2"/>
  <c r="W148" i="2"/>
  <c r="W196" i="2"/>
  <c r="W228" i="2"/>
  <c r="W181" i="2"/>
  <c r="W237" i="2"/>
  <c r="W86" i="2"/>
  <c r="W158" i="2"/>
  <c r="W190" i="2"/>
  <c r="W222" i="2"/>
  <c r="W11" i="2"/>
  <c r="W51" i="2"/>
  <c r="W87" i="2"/>
  <c r="W159" i="2"/>
  <c r="W88" i="2"/>
  <c r="W160" i="2"/>
  <c r="W123" i="2"/>
  <c r="W85" i="2"/>
  <c r="W9" i="2"/>
  <c r="W49" i="2"/>
  <c r="W121" i="2"/>
  <c r="W10" i="2"/>
  <c r="W50" i="2"/>
  <c r="W122" i="2"/>
  <c r="W12" i="2"/>
  <c r="W52" i="2"/>
  <c r="W124" i="2"/>
  <c r="W157" i="2"/>
  <c r="W94" i="2"/>
  <c r="W166" i="2"/>
  <c r="W95" i="2"/>
  <c r="W167" i="2"/>
  <c r="W165" i="2"/>
  <c r="W96" i="2"/>
  <c r="W168" i="2"/>
  <c r="W192" i="2"/>
  <c r="W224" i="2"/>
  <c r="W17" i="2"/>
  <c r="W57" i="2"/>
  <c r="W129" i="2"/>
  <c r="W19" i="2"/>
  <c r="W59" i="2"/>
  <c r="W131" i="2"/>
  <c r="W18" i="2"/>
  <c r="W58" i="2"/>
  <c r="W130" i="2"/>
  <c r="W20" i="2"/>
  <c r="W60" i="2"/>
  <c r="W132" i="2"/>
  <c r="W93" i="2"/>
  <c r="W230" i="2"/>
  <c r="W241" i="2"/>
  <c r="W41" i="2"/>
  <c r="W42" i="2"/>
  <c r="W242" i="2"/>
  <c r="W43" i="2"/>
  <c r="W44" i="2"/>
  <c r="W14" i="2"/>
  <c r="W54" i="2"/>
  <c r="W126" i="2"/>
  <c r="W163" i="2"/>
  <c r="W15" i="2"/>
  <c r="W55" i="2"/>
  <c r="W127" i="2"/>
  <c r="W191" i="2"/>
  <c r="W223" i="2"/>
  <c r="W91" i="2"/>
  <c r="W16" i="2"/>
  <c r="W56" i="2"/>
  <c r="W128" i="2"/>
  <c r="W125" i="2"/>
  <c r="W89" i="2"/>
  <c r="W161" i="2"/>
  <c r="W90" i="2"/>
  <c r="W162" i="2"/>
  <c r="W92" i="2"/>
  <c r="W164" i="2"/>
  <c r="W13" i="2"/>
  <c r="W53" i="2"/>
  <c r="W22" i="2"/>
  <c r="W62" i="2"/>
  <c r="W134" i="2"/>
  <c r="W198" i="2"/>
  <c r="W23" i="2"/>
  <c r="W63" i="2"/>
  <c r="W135" i="2"/>
  <c r="W199" i="2"/>
  <c r="W231" i="2"/>
  <c r="W24" i="2"/>
  <c r="W64" i="2"/>
  <c r="W136" i="2"/>
  <c r="W200" i="2"/>
  <c r="W232" i="2"/>
  <c r="W211" i="2"/>
  <c r="W97" i="2"/>
  <c r="W169" i="2"/>
  <c r="W193" i="2"/>
  <c r="W209" i="2"/>
  <c r="W225" i="2"/>
  <c r="W99" i="2"/>
  <c r="W171" i="2"/>
  <c r="W98" i="2"/>
  <c r="W170" i="2"/>
  <c r="W210" i="2"/>
  <c r="W197" i="2"/>
  <c r="W100" i="2"/>
  <c r="W172" i="2"/>
  <c r="W212" i="2"/>
  <c r="W21" i="2"/>
  <c r="W61" i="2"/>
  <c r="W133" i="2"/>
  <c r="V16" i="2"/>
  <c r="V56" i="2"/>
  <c r="V128" i="2"/>
  <c r="V89" i="2"/>
  <c r="V161" i="2"/>
  <c r="V53" i="2"/>
  <c r="V90" i="2"/>
  <c r="V162" i="2"/>
  <c r="V125" i="2"/>
  <c r="V91" i="2"/>
  <c r="V163" i="2"/>
  <c r="V92" i="2"/>
  <c r="V164" i="2"/>
  <c r="V54" i="2"/>
  <c r="V126" i="2"/>
  <c r="V191" i="2"/>
  <c r="V55" i="2"/>
  <c r="V127" i="2"/>
  <c r="V223" i="2"/>
  <c r="V96" i="2"/>
  <c r="V17" i="2"/>
  <c r="V57" i="2"/>
  <c r="V129" i="2"/>
  <c r="V165" i="2"/>
  <c r="V18" i="2"/>
  <c r="V58" i="2"/>
  <c r="V130" i="2"/>
  <c r="V19" i="2"/>
  <c r="V59" i="2"/>
  <c r="V131" i="2"/>
  <c r="V93" i="2"/>
  <c r="V20" i="2"/>
  <c r="V60" i="2"/>
  <c r="V132" i="2"/>
  <c r="V94" i="2"/>
  <c r="V166" i="2"/>
  <c r="V95" i="2"/>
  <c r="V167" i="2"/>
  <c r="V168" i="2"/>
  <c r="V192" i="2"/>
  <c r="V224" i="2"/>
  <c r="V40" i="2"/>
  <c r="V80" i="2"/>
  <c r="V152" i="2"/>
  <c r="V113" i="2"/>
  <c r="V185" i="2"/>
  <c r="V229" i="2"/>
  <c r="V114" i="2"/>
  <c r="V186" i="2"/>
  <c r="V37" i="2"/>
  <c r="V149" i="2"/>
  <c r="V115" i="2"/>
  <c r="V187" i="2"/>
  <c r="V116" i="2"/>
  <c r="V188" i="2"/>
  <c r="V77" i="2"/>
  <c r="V38" i="2"/>
  <c r="V78" i="2"/>
  <c r="V150" i="2"/>
  <c r="V239" i="2"/>
  <c r="V240" i="2"/>
  <c r="V39" i="2"/>
  <c r="V79" i="2"/>
  <c r="V151" i="2"/>
  <c r="V24" i="2"/>
  <c r="V64" i="2"/>
  <c r="V136" i="2"/>
  <c r="V200" i="2"/>
  <c r="V232" i="2"/>
  <c r="V97" i="2"/>
  <c r="V169" i="2"/>
  <c r="V193" i="2"/>
  <c r="V209" i="2"/>
  <c r="V225" i="2"/>
  <c r="V133" i="2"/>
  <c r="V197" i="2"/>
  <c r="V98" i="2"/>
  <c r="V170" i="2"/>
  <c r="V210" i="2"/>
  <c r="V61" i="2"/>
  <c r="V99" i="2"/>
  <c r="V171" i="2"/>
  <c r="V211" i="2"/>
  <c r="V100" i="2"/>
  <c r="V172" i="2"/>
  <c r="V212" i="2"/>
  <c r="V21" i="2"/>
  <c r="V22" i="2"/>
  <c r="V62" i="2"/>
  <c r="V134" i="2"/>
  <c r="V198" i="2"/>
  <c r="V231" i="2"/>
  <c r="V23" i="2"/>
  <c r="V63" i="2"/>
  <c r="V135" i="2"/>
  <c r="V199" i="2"/>
  <c r="V112" i="2"/>
  <c r="V33" i="2"/>
  <c r="V73" i="2"/>
  <c r="V145" i="2"/>
  <c r="V34" i="2"/>
  <c r="V74" i="2"/>
  <c r="V146" i="2"/>
  <c r="V35" i="2"/>
  <c r="V75" i="2"/>
  <c r="V147" i="2"/>
  <c r="V181" i="2"/>
  <c r="V36" i="2"/>
  <c r="V76" i="2"/>
  <c r="V148" i="2"/>
  <c r="V196" i="2"/>
  <c r="V228" i="2"/>
  <c r="V109" i="2"/>
  <c r="V110" i="2"/>
  <c r="V182" i="2"/>
  <c r="V238" i="2"/>
  <c r="V184" i="2"/>
  <c r="V237" i="2"/>
  <c r="V111" i="2"/>
  <c r="V183" i="2"/>
  <c r="V88" i="2"/>
  <c r="V160" i="2"/>
  <c r="V49" i="2"/>
  <c r="V121" i="2"/>
  <c r="V50" i="2"/>
  <c r="V122" i="2"/>
  <c r="V85" i="2"/>
  <c r="V51" i="2"/>
  <c r="V123" i="2"/>
  <c r="V52" i="2"/>
  <c r="V124" i="2"/>
  <c r="V157" i="2"/>
  <c r="V86" i="2"/>
  <c r="V158" i="2"/>
  <c r="V190" i="2"/>
  <c r="V222" i="2"/>
  <c r="V87" i="2"/>
  <c r="V41" i="2"/>
  <c r="V241" i="2"/>
  <c r="V42" i="2"/>
  <c r="V242" i="2"/>
  <c r="V43" i="2"/>
  <c r="V44" i="2"/>
  <c r="V230" i="2"/>
  <c r="V104" i="2"/>
  <c r="V176" i="2"/>
  <c r="V25" i="2"/>
  <c r="V65" i="2"/>
  <c r="V137" i="2"/>
  <c r="V201" i="2"/>
  <c r="V233" i="2"/>
  <c r="V101" i="2"/>
  <c r="V26" i="2"/>
  <c r="V66" i="2"/>
  <c r="V138" i="2"/>
  <c r="V194" i="2"/>
  <c r="V202" i="2"/>
  <c r="V226" i="2"/>
  <c r="V234" i="2"/>
  <c r="V213" i="2"/>
  <c r="V27" i="2"/>
  <c r="V67" i="2"/>
  <c r="V139" i="2"/>
  <c r="V203" i="2"/>
  <c r="V28" i="2"/>
  <c r="V68" i="2"/>
  <c r="V140" i="2"/>
  <c r="V204" i="2"/>
  <c r="V173" i="2"/>
  <c r="V102" i="2"/>
  <c r="V174" i="2"/>
  <c r="V214" i="2"/>
  <c r="V215" i="2"/>
  <c r="V216" i="2"/>
  <c r="V103" i="2"/>
  <c r="V175" i="2"/>
  <c r="V32" i="2"/>
  <c r="V72" i="2"/>
  <c r="V144" i="2"/>
  <c r="V105" i="2"/>
  <c r="V177" i="2"/>
  <c r="V217" i="2"/>
  <c r="V29" i="2"/>
  <c r="V69" i="2"/>
  <c r="V106" i="2"/>
  <c r="V178" i="2"/>
  <c r="V218" i="2"/>
  <c r="V107" i="2"/>
  <c r="V179" i="2"/>
  <c r="V195" i="2"/>
  <c r="V219" i="2"/>
  <c r="V227" i="2"/>
  <c r="V235" i="2"/>
  <c r="V141" i="2"/>
  <c r="V108" i="2"/>
  <c r="V180" i="2"/>
  <c r="V220" i="2"/>
  <c r="V236" i="2"/>
  <c r="V205" i="2"/>
  <c r="V30" i="2"/>
  <c r="V70" i="2"/>
  <c r="V142" i="2"/>
  <c r="V206" i="2"/>
  <c r="V31" i="2"/>
  <c r="V71" i="2"/>
  <c r="V143" i="2"/>
  <c r="V207" i="2"/>
  <c r="V208" i="2"/>
  <c r="V15" i="2"/>
  <c r="V13" i="2"/>
  <c r="V14" i="2"/>
  <c r="V9" i="2"/>
  <c r="V12" i="2"/>
  <c r="V10" i="2"/>
  <c r="V11" i="2"/>
  <c r="N236" i="2"/>
  <c r="O236" i="2" s="1"/>
  <c r="Q238" i="2" s="1"/>
  <c r="N232" i="2"/>
  <c r="N240" i="2"/>
  <c r="R240" i="2" s="1"/>
  <c r="R242" i="2"/>
  <c r="R238" i="2"/>
  <c r="O234" i="2"/>
  <c r="Q236" i="2" s="1"/>
  <c r="D5" i="4"/>
  <c r="D6" i="4"/>
  <c r="D7" i="4"/>
  <c r="D8" i="4"/>
  <c r="D9" i="4"/>
  <c r="D10" i="4"/>
  <c r="D11" i="4"/>
  <c r="D12" i="4"/>
  <c r="D14" i="4"/>
  <c r="D13" i="4"/>
  <c r="E6" i="3"/>
  <c r="O232" i="2" l="1"/>
  <c r="R232" i="2"/>
  <c r="R236" i="2"/>
  <c r="O240" i="2"/>
  <c r="Q242" i="2" s="1"/>
  <c r="G8" i="3"/>
  <c r="Q232" i="2" l="1"/>
  <c r="Q234" i="2"/>
  <c r="F6" i="3"/>
  <c r="H6" i="3" s="1"/>
  <c r="I12" i="4" l="1"/>
  <c r="I13" i="4"/>
  <c r="I14" i="4"/>
  <c r="H233" i="2"/>
  <c r="H235" i="2"/>
  <c r="H237" i="2"/>
  <c r="H239" i="2"/>
  <c r="H231" i="2"/>
  <c r="M241" i="2"/>
  <c r="M239" i="2"/>
  <c r="M237" i="2"/>
  <c r="M235" i="2"/>
  <c r="M233" i="2"/>
  <c r="M231" i="2"/>
  <c r="J241" i="2"/>
  <c r="H241" i="2" s="1"/>
  <c r="I5" i="4"/>
  <c r="I6" i="4"/>
  <c r="I7" i="4"/>
  <c r="I8" i="4"/>
  <c r="I9" i="4"/>
  <c r="I10" i="4"/>
  <c r="I11" i="4"/>
  <c r="E21" i="3"/>
  <c r="H5" i="4"/>
  <c r="H6" i="4"/>
  <c r="H7" i="4"/>
  <c r="H8" i="4"/>
  <c r="H9" i="4"/>
  <c r="H10" i="4"/>
  <c r="H11" i="4"/>
  <c r="H12" i="4"/>
  <c r="H13" i="4"/>
  <c r="H14" i="4"/>
  <c r="G12" i="4"/>
  <c r="G14" i="4"/>
  <c r="G13" i="4"/>
  <c r="G11" i="4"/>
  <c r="G10" i="4"/>
  <c r="G9" i="4"/>
  <c r="G8" i="4"/>
  <c r="G7" i="4"/>
  <c r="G6" i="4"/>
  <c r="G5" i="4"/>
  <c r="E19" i="4"/>
  <c r="E18" i="4"/>
  <c r="E17" i="4"/>
  <c r="E16" i="4"/>
  <c r="F21" i="3"/>
  <c r="N190" i="2"/>
  <c r="N189" i="2"/>
  <c r="N222" i="2"/>
  <c r="N231" i="2" l="1"/>
  <c r="O231" i="2" s="1"/>
  <c r="N233" i="2"/>
  <c r="R233" i="2" s="1"/>
  <c r="N241" i="2"/>
  <c r="O241" i="2" s="1"/>
  <c r="N235" i="2"/>
  <c r="R235" i="2" s="1"/>
  <c r="N239" i="2"/>
  <c r="O239" i="2" s="1"/>
  <c r="Q241" i="2" s="1"/>
  <c r="N237" i="2"/>
  <c r="O237" i="2" s="1"/>
  <c r="Q239" i="2" s="1"/>
  <c r="O233" i="2"/>
  <c r="Q235" i="2" s="1"/>
  <c r="H21" i="3"/>
  <c r="R237" i="2" l="1"/>
  <c r="Q231" i="2"/>
  <c r="Q233" i="2"/>
  <c r="R239" i="2"/>
  <c r="O235" i="2"/>
  <c r="Q237" i="2" s="1"/>
  <c r="R241" i="2"/>
  <c r="R231" i="2"/>
  <c r="Q221" i="2"/>
  <c r="N221" i="2" s="1"/>
  <c r="M220" i="2" l="1"/>
  <c r="M216" i="2"/>
  <c r="M212" i="2"/>
  <c r="M208" i="2"/>
  <c r="M204" i="2"/>
  <c r="M200" i="2"/>
  <c r="Q199" i="2"/>
  <c r="M199" i="2"/>
  <c r="J199" i="2"/>
  <c r="I199" i="2"/>
  <c r="M203" i="2"/>
  <c r="N203" i="2" s="1"/>
  <c r="P203" i="2" s="1"/>
  <c r="J203" i="2"/>
  <c r="I203" i="2"/>
  <c r="M207" i="2"/>
  <c r="N207" i="2" s="1"/>
  <c r="P207" i="2" s="1"/>
  <c r="T207" i="2" s="1"/>
  <c r="J207" i="2"/>
  <c r="I207" i="2"/>
  <c r="M210" i="2"/>
  <c r="J210" i="2"/>
  <c r="I210" i="2"/>
  <c r="M218" i="2"/>
  <c r="N218" i="2" s="1"/>
  <c r="P218" i="2" s="1"/>
  <c r="J218" i="2"/>
  <c r="I218" i="2"/>
  <c r="M214" i="2"/>
  <c r="N214" i="2" s="1"/>
  <c r="P214" i="2" s="1"/>
  <c r="T214" i="2" s="1"/>
  <c r="J214" i="2"/>
  <c r="I214" i="2"/>
  <c r="M219" i="2"/>
  <c r="J219" i="2"/>
  <c r="I219" i="2"/>
  <c r="M215" i="2"/>
  <c r="N215" i="2" s="1"/>
  <c r="P215" i="2" s="1"/>
  <c r="J215" i="2"/>
  <c r="I215" i="2"/>
  <c r="M211" i="2"/>
  <c r="N211" i="2" s="1"/>
  <c r="J211" i="2"/>
  <c r="I211" i="2"/>
  <c r="M206" i="2"/>
  <c r="J206" i="2"/>
  <c r="I206" i="2"/>
  <c r="M202" i="2"/>
  <c r="J202" i="2"/>
  <c r="I202" i="2"/>
  <c r="Q198" i="2"/>
  <c r="M198" i="2"/>
  <c r="N198" i="2" s="1"/>
  <c r="J198" i="2"/>
  <c r="I198" i="2"/>
  <c r="M217" i="2"/>
  <c r="J217" i="2"/>
  <c r="I217" i="2"/>
  <c r="M213" i="2"/>
  <c r="N213" i="2" s="1"/>
  <c r="P213" i="2" s="1"/>
  <c r="J213" i="2"/>
  <c r="J216" i="2" s="1"/>
  <c r="I213" i="2"/>
  <c r="M209" i="2"/>
  <c r="J209" i="2"/>
  <c r="I209" i="2"/>
  <c r="M205" i="2"/>
  <c r="J205" i="2"/>
  <c r="I205" i="2"/>
  <c r="M201" i="2"/>
  <c r="N201" i="2" s="1"/>
  <c r="P201" i="2" s="1"/>
  <c r="J201" i="2"/>
  <c r="I201" i="2"/>
  <c r="Q197" i="2"/>
  <c r="M197" i="2"/>
  <c r="N197" i="2" s="1"/>
  <c r="U197" i="2" s="1"/>
  <c r="J197" i="2"/>
  <c r="I197" i="2"/>
  <c r="Q156" i="2"/>
  <c r="D12" i="3"/>
  <c r="C12" i="3"/>
  <c r="H220" i="2"/>
  <c r="H216" i="2"/>
  <c r="H212" i="2"/>
  <c r="D212" i="2"/>
  <c r="D213" i="2"/>
  <c r="D214" i="2"/>
  <c r="D215" i="2"/>
  <c r="D216" i="2"/>
  <c r="D217" i="2"/>
  <c r="D218" i="2"/>
  <c r="D219" i="2"/>
  <c r="D220" i="2"/>
  <c r="H208" i="2"/>
  <c r="D208" i="2"/>
  <c r="H204" i="2"/>
  <c r="H200" i="2"/>
  <c r="D204" i="2"/>
  <c r="D200" i="2"/>
  <c r="D183" i="2"/>
  <c r="D184" i="2"/>
  <c r="D185" i="2"/>
  <c r="D186" i="2"/>
  <c r="D187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59" i="2"/>
  <c r="D155" i="2"/>
  <c r="O223" i="2"/>
  <c r="Q224" i="2" s="1"/>
  <c r="Q223" i="2"/>
  <c r="D221" i="2"/>
  <c r="D222" i="2"/>
  <c r="D223" i="2"/>
  <c r="D224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6" i="2"/>
  <c r="D157" i="2"/>
  <c r="D158" i="2"/>
  <c r="D160" i="2"/>
  <c r="D161" i="2"/>
  <c r="D162" i="2"/>
  <c r="D180" i="2"/>
  <c r="D181" i="2"/>
  <c r="D182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1" i="2"/>
  <c r="D202" i="2"/>
  <c r="D203" i="2"/>
  <c r="D205" i="2"/>
  <c r="D206" i="2"/>
  <c r="D207" i="2"/>
  <c r="D209" i="2"/>
  <c r="D210" i="2"/>
  <c r="D211" i="2"/>
  <c r="D225" i="2"/>
  <c r="D226" i="2"/>
  <c r="D227" i="2"/>
  <c r="D228" i="2"/>
  <c r="D229" i="2"/>
  <c r="D230" i="2"/>
  <c r="D231" i="2"/>
  <c r="D233" i="2"/>
  <c r="D235" i="2"/>
  <c r="D237" i="2"/>
  <c r="D239" i="2"/>
  <c r="D241" i="2"/>
  <c r="D5" i="2"/>
  <c r="Q227" i="2"/>
  <c r="O226" i="2" s="1"/>
  <c r="Q230" i="2"/>
  <c r="Q229" i="2"/>
  <c r="O228" i="2" s="1"/>
  <c r="Q228" i="2"/>
  <c r="O227" i="2" s="1"/>
  <c r="Q226" i="2"/>
  <c r="Q225" i="2"/>
  <c r="Q196" i="2"/>
  <c r="N196" i="2" s="1"/>
  <c r="Q194" i="2"/>
  <c r="N194" i="2" s="1"/>
  <c r="Q195" i="2"/>
  <c r="N195" i="2" s="1"/>
  <c r="Q193" i="2"/>
  <c r="N193" i="2" s="1"/>
  <c r="Q192" i="2"/>
  <c r="N192" i="2" s="1"/>
  <c r="Q191" i="2"/>
  <c r="N191" i="2" s="1"/>
  <c r="M188" i="2"/>
  <c r="M186" i="2"/>
  <c r="J186" i="2"/>
  <c r="I186" i="2"/>
  <c r="M185" i="2"/>
  <c r="N185" i="2" s="1"/>
  <c r="R185" i="2" s="1"/>
  <c r="J185" i="2"/>
  <c r="I185" i="2"/>
  <c r="M184" i="2"/>
  <c r="K184" i="2"/>
  <c r="M182" i="2"/>
  <c r="J182" i="2"/>
  <c r="I182" i="2"/>
  <c r="M181" i="2"/>
  <c r="J181" i="2"/>
  <c r="I181" i="2"/>
  <c r="M180" i="2"/>
  <c r="K180" i="2"/>
  <c r="M178" i="2"/>
  <c r="J178" i="2"/>
  <c r="I178" i="2"/>
  <c r="M177" i="2"/>
  <c r="J177" i="2"/>
  <c r="I177" i="2"/>
  <c r="M176" i="2"/>
  <c r="K176" i="2"/>
  <c r="M174" i="2"/>
  <c r="N174" i="2" s="1"/>
  <c r="J174" i="2"/>
  <c r="I174" i="2"/>
  <c r="M173" i="2"/>
  <c r="J173" i="2"/>
  <c r="I173" i="2"/>
  <c r="M172" i="2"/>
  <c r="K172" i="2"/>
  <c r="M170" i="2"/>
  <c r="J170" i="2"/>
  <c r="I170" i="2"/>
  <c r="M169" i="2"/>
  <c r="J169" i="2"/>
  <c r="I169" i="2"/>
  <c r="M168" i="2"/>
  <c r="M166" i="2"/>
  <c r="N166" i="2" s="1"/>
  <c r="P166" i="2" s="1"/>
  <c r="T166" i="2" s="1"/>
  <c r="J166" i="2"/>
  <c r="I166" i="2"/>
  <c r="K165" i="2"/>
  <c r="K168" i="2" s="1"/>
  <c r="J165" i="2"/>
  <c r="I165" i="2"/>
  <c r="M164" i="2"/>
  <c r="M162" i="2"/>
  <c r="N162" i="2" s="1"/>
  <c r="P162" i="2" s="1"/>
  <c r="T162" i="2" s="1"/>
  <c r="J162" i="2"/>
  <c r="I162" i="2"/>
  <c r="K161" i="2"/>
  <c r="K164" i="2" s="1"/>
  <c r="J161" i="2"/>
  <c r="I161" i="2"/>
  <c r="M160" i="2"/>
  <c r="M158" i="2"/>
  <c r="N158" i="2" s="1"/>
  <c r="R158" i="2" s="1"/>
  <c r="J158" i="2"/>
  <c r="I158" i="2"/>
  <c r="K157" i="2"/>
  <c r="M157" i="2" s="1"/>
  <c r="N157" i="2" s="1"/>
  <c r="R157" i="2" s="1"/>
  <c r="J157" i="2"/>
  <c r="I157" i="2"/>
  <c r="K153" i="2"/>
  <c r="K156" i="2" s="1"/>
  <c r="M156" i="2"/>
  <c r="M119" i="2"/>
  <c r="N119" i="2" s="1"/>
  <c r="M118" i="2"/>
  <c r="N118" i="2" s="1"/>
  <c r="R118" i="2" s="1"/>
  <c r="U118" i="2" s="1"/>
  <c r="M117" i="2"/>
  <c r="N117" i="2" s="1"/>
  <c r="R117" i="2" s="1"/>
  <c r="M115" i="2"/>
  <c r="M113" i="2"/>
  <c r="M111" i="2"/>
  <c r="M109" i="2"/>
  <c r="M107" i="2"/>
  <c r="M105" i="2"/>
  <c r="M103" i="2"/>
  <c r="N103" i="2" s="1"/>
  <c r="M101" i="2"/>
  <c r="M99" i="2"/>
  <c r="M97" i="2"/>
  <c r="N97" i="2" s="1"/>
  <c r="U97" i="2" s="1"/>
  <c r="M95" i="2"/>
  <c r="N95" i="2" s="1"/>
  <c r="M93" i="2"/>
  <c r="N93" i="2" s="1"/>
  <c r="R93" i="2" s="1"/>
  <c r="M82" i="2"/>
  <c r="N82" i="2" s="1"/>
  <c r="R82" i="2" s="1"/>
  <c r="U82" i="2" s="1"/>
  <c r="M83" i="2"/>
  <c r="N83" i="2" s="1"/>
  <c r="M84" i="2"/>
  <c r="M85" i="2"/>
  <c r="N85" i="2" s="1"/>
  <c r="R85" i="2" s="1"/>
  <c r="M86" i="2"/>
  <c r="N86" i="2" s="1"/>
  <c r="M87" i="2"/>
  <c r="N87" i="2" s="1"/>
  <c r="R87" i="2" s="1"/>
  <c r="M88" i="2"/>
  <c r="M89" i="2"/>
  <c r="N89" i="2" s="1"/>
  <c r="R89" i="2" s="1"/>
  <c r="M90" i="2"/>
  <c r="N90" i="2" s="1"/>
  <c r="M91" i="2"/>
  <c r="N91" i="2" s="1"/>
  <c r="R91" i="2" s="1"/>
  <c r="M92" i="2"/>
  <c r="M94" i="2"/>
  <c r="N94" i="2" s="1"/>
  <c r="R94" i="2" s="1"/>
  <c r="M96" i="2"/>
  <c r="M98" i="2"/>
  <c r="M100" i="2"/>
  <c r="M102" i="2"/>
  <c r="M104" i="2"/>
  <c r="M106" i="2"/>
  <c r="M108" i="2"/>
  <c r="M110" i="2"/>
  <c r="N110" i="2" s="1"/>
  <c r="R110" i="2" s="1"/>
  <c r="M112" i="2"/>
  <c r="M114" i="2"/>
  <c r="N114" i="2" s="1"/>
  <c r="R114" i="2" s="1"/>
  <c r="M116" i="2"/>
  <c r="M120" i="2"/>
  <c r="M121" i="2"/>
  <c r="N121" i="2" s="1"/>
  <c r="R121" i="2" s="1"/>
  <c r="M122" i="2"/>
  <c r="N122" i="2" s="1"/>
  <c r="R122" i="2" s="1"/>
  <c r="M123" i="2"/>
  <c r="N123" i="2" s="1"/>
  <c r="M124" i="2"/>
  <c r="M125" i="2"/>
  <c r="N125" i="2" s="1"/>
  <c r="R125" i="2" s="1"/>
  <c r="M126" i="2"/>
  <c r="N126" i="2" s="1"/>
  <c r="R126" i="2" s="1"/>
  <c r="M127" i="2"/>
  <c r="N127" i="2" s="1"/>
  <c r="M128" i="2"/>
  <c r="M129" i="2"/>
  <c r="N129" i="2" s="1"/>
  <c r="R129" i="2" s="1"/>
  <c r="M130" i="2"/>
  <c r="N130" i="2" s="1"/>
  <c r="R130" i="2" s="1"/>
  <c r="M131" i="2"/>
  <c r="N131" i="2" s="1"/>
  <c r="O131" i="2" s="1"/>
  <c r="Q135" i="2" s="1"/>
  <c r="M132" i="2"/>
  <c r="M133" i="2"/>
  <c r="M134" i="2"/>
  <c r="N134" i="2" s="1"/>
  <c r="U134" i="2" s="1"/>
  <c r="M135" i="2"/>
  <c r="M136" i="2"/>
  <c r="M137" i="2"/>
  <c r="M138" i="2"/>
  <c r="M139" i="2"/>
  <c r="M140" i="2"/>
  <c r="M141" i="2"/>
  <c r="N141" i="2" s="1"/>
  <c r="M142" i="2"/>
  <c r="M143" i="2"/>
  <c r="M144" i="2"/>
  <c r="M145" i="2"/>
  <c r="M146" i="2"/>
  <c r="M147" i="2"/>
  <c r="N147" i="2" s="1"/>
  <c r="M148" i="2"/>
  <c r="M149" i="2"/>
  <c r="M150" i="2"/>
  <c r="M151" i="2"/>
  <c r="M152" i="2"/>
  <c r="M154" i="2"/>
  <c r="N154" i="2" s="1"/>
  <c r="R154" i="2" s="1"/>
  <c r="U154" i="2" s="1"/>
  <c r="M81" i="2"/>
  <c r="N81" i="2" s="1"/>
  <c r="R81" i="2" s="1"/>
  <c r="U81" i="2" s="1"/>
  <c r="M79" i="2"/>
  <c r="M78" i="2"/>
  <c r="M77" i="2"/>
  <c r="N77" i="2" s="1"/>
  <c r="R77" i="2" s="1"/>
  <c r="M75" i="2"/>
  <c r="M74" i="2"/>
  <c r="M73" i="2"/>
  <c r="M71" i="2"/>
  <c r="M70" i="2"/>
  <c r="N70" i="2" s="1"/>
  <c r="P70" i="2" s="1"/>
  <c r="M69" i="2"/>
  <c r="M67" i="2"/>
  <c r="N67" i="2" s="1"/>
  <c r="M66" i="2"/>
  <c r="M65" i="2"/>
  <c r="M63" i="2"/>
  <c r="M62" i="2"/>
  <c r="M61" i="2"/>
  <c r="N61" i="2" s="1"/>
  <c r="U61" i="2" s="1"/>
  <c r="M59" i="2"/>
  <c r="N59" i="2" s="1"/>
  <c r="M58" i="2"/>
  <c r="N58" i="2" s="1"/>
  <c r="R58" i="2" s="1"/>
  <c r="M57" i="2"/>
  <c r="N57" i="2" s="1"/>
  <c r="R57" i="2" s="1"/>
  <c r="M55" i="2"/>
  <c r="N55" i="2" s="1"/>
  <c r="M54" i="2"/>
  <c r="N54" i="2" s="1"/>
  <c r="R54" i="2" s="1"/>
  <c r="M53" i="2"/>
  <c r="N53" i="2" s="1"/>
  <c r="R53" i="2" s="1"/>
  <c r="M51" i="2"/>
  <c r="N51" i="2" s="1"/>
  <c r="R51" i="2" s="1"/>
  <c r="M50" i="2"/>
  <c r="N50" i="2" s="1"/>
  <c r="M49" i="2"/>
  <c r="N49" i="2" s="1"/>
  <c r="R49" i="2" s="1"/>
  <c r="M47" i="2"/>
  <c r="N47" i="2" s="1"/>
  <c r="P47" i="2" s="1"/>
  <c r="T47" i="2" s="1"/>
  <c r="M46" i="2"/>
  <c r="N46" i="2" s="1"/>
  <c r="M45" i="2"/>
  <c r="N45" i="2" s="1"/>
  <c r="M43" i="2"/>
  <c r="M42" i="2"/>
  <c r="M41" i="2"/>
  <c r="M39" i="2"/>
  <c r="N39" i="2" s="1"/>
  <c r="R39" i="2" s="1"/>
  <c r="M38" i="2"/>
  <c r="M37" i="2"/>
  <c r="M35" i="2"/>
  <c r="M34" i="2"/>
  <c r="M33" i="2"/>
  <c r="M31" i="2"/>
  <c r="N31" i="2" s="1"/>
  <c r="M30" i="2"/>
  <c r="M29" i="2"/>
  <c r="M27" i="2"/>
  <c r="M26" i="2"/>
  <c r="M25" i="2"/>
  <c r="N25" i="2" s="1"/>
  <c r="M23" i="2"/>
  <c r="M22" i="2"/>
  <c r="M21" i="2"/>
  <c r="M19" i="2"/>
  <c r="N19" i="2" s="1"/>
  <c r="M18" i="2"/>
  <c r="N18" i="2" s="1"/>
  <c r="K17" i="2"/>
  <c r="M17" i="2" s="1"/>
  <c r="N17" i="2" s="1"/>
  <c r="R17" i="2" s="1"/>
  <c r="M15" i="2"/>
  <c r="N15" i="2" s="1"/>
  <c r="P15" i="2" s="1"/>
  <c r="T15" i="2" s="1"/>
  <c r="M14" i="2"/>
  <c r="N14" i="2" s="1"/>
  <c r="K13" i="2"/>
  <c r="M13" i="2" s="1"/>
  <c r="N13" i="2" s="1"/>
  <c r="R13" i="2" s="1"/>
  <c r="M11" i="2"/>
  <c r="N11" i="2" s="1"/>
  <c r="P11" i="2" s="1"/>
  <c r="T11" i="2" s="1"/>
  <c r="M10" i="2"/>
  <c r="N10" i="2" s="1"/>
  <c r="K9" i="2"/>
  <c r="M9" i="2" s="1"/>
  <c r="N9" i="2" s="1"/>
  <c r="R9" i="2" s="1"/>
  <c r="M6" i="2"/>
  <c r="N6" i="2" s="1"/>
  <c r="M7" i="2"/>
  <c r="N7" i="2" s="1"/>
  <c r="P7" i="2" s="1"/>
  <c r="T7" i="2" s="1"/>
  <c r="O2" i="2"/>
  <c r="J154" i="2"/>
  <c r="I154" i="2"/>
  <c r="J153" i="2"/>
  <c r="I153" i="2"/>
  <c r="H188" i="2"/>
  <c r="H184" i="2"/>
  <c r="H180" i="2"/>
  <c r="H176" i="2"/>
  <c r="H172" i="2"/>
  <c r="H168" i="2"/>
  <c r="H164" i="2"/>
  <c r="H160" i="2"/>
  <c r="H156" i="2"/>
  <c r="H152" i="2"/>
  <c r="J151" i="2"/>
  <c r="I151" i="2"/>
  <c r="J150" i="2"/>
  <c r="I150" i="2"/>
  <c r="J149" i="2"/>
  <c r="I149" i="2"/>
  <c r="H148" i="2"/>
  <c r="J147" i="2"/>
  <c r="I147" i="2"/>
  <c r="J146" i="2"/>
  <c r="I146" i="2"/>
  <c r="J145" i="2"/>
  <c r="I145" i="2"/>
  <c r="H144" i="2"/>
  <c r="J143" i="2"/>
  <c r="I143" i="2"/>
  <c r="J142" i="2"/>
  <c r="I142" i="2"/>
  <c r="J141" i="2"/>
  <c r="I141" i="2"/>
  <c r="H140" i="2"/>
  <c r="J139" i="2"/>
  <c r="I139" i="2"/>
  <c r="J138" i="2"/>
  <c r="I138" i="2"/>
  <c r="J137" i="2"/>
  <c r="I137" i="2"/>
  <c r="H136" i="2"/>
  <c r="J135" i="2"/>
  <c r="I135" i="2"/>
  <c r="J134" i="2"/>
  <c r="I134" i="2"/>
  <c r="J133" i="2"/>
  <c r="I133" i="2"/>
  <c r="H132" i="2"/>
  <c r="J131" i="2"/>
  <c r="I131" i="2"/>
  <c r="J130" i="2"/>
  <c r="I130" i="2"/>
  <c r="J129" i="2"/>
  <c r="I129" i="2"/>
  <c r="H128" i="2"/>
  <c r="J127" i="2"/>
  <c r="I127" i="2"/>
  <c r="J126" i="2"/>
  <c r="I126" i="2"/>
  <c r="J125" i="2"/>
  <c r="I125" i="2"/>
  <c r="H124" i="2"/>
  <c r="J123" i="2"/>
  <c r="I123" i="2"/>
  <c r="J122" i="2"/>
  <c r="I122" i="2"/>
  <c r="J121" i="2"/>
  <c r="I121" i="2"/>
  <c r="H120" i="2"/>
  <c r="J119" i="2"/>
  <c r="I119" i="2"/>
  <c r="J118" i="2"/>
  <c r="I118" i="2"/>
  <c r="J117" i="2"/>
  <c r="I117" i="2"/>
  <c r="K5" i="2"/>
  <c r="M5" i="2" s="1"/>
  <c r="H116" i="2"/>
  <c r="J115" i="2"/>
  <c r="I115" i="2"/>
  <c r="J114" i="2"/>
  <c r="I114" i="2"/>
  <c r="J113" i="2"/>
  <c r="I113" i="2"/>
  <c r="H112" i="2"/>
  <c r="J111" i="2"/>
  <c r="I111" i="2"/>
  <c r="J110" i="2"/>
  <c r="I110" i="2"/>
  <c r="J109" i="2"/>
  <c r="I109" i="2"/>
  <c r="H108" i="2"/>
  <c r="J107" i="2"/>
  <c r="I107" i="2"/>
  <c r="J106" i="2"/>
  <c r="I106" i="2"/>
  <c r="J105" i="2"/>
  <c r="I105" i="2"/>
  <c r="H104" i="2"/>
  <c r="J103" i="2"/>
  <c r="I103" i="2"/>
  <c r="J102" i="2"/>
  <c r="I102" i="2"/>
  <c r="J101" i="2"/>
  <c r="I101" i="2"/>
  <c r="H100" i="2"/>
  <c r="J99" i="2"/>
  <c r="I99" i="2"/>
  <c r="J98" i="2"/>
  <c r="I98" i="2"/>
  <c r="J97" i="2"/>
  <c r="I97" i="2"/>
  <c r="H96" i="2"/>
  <c r="J95" i="2"/>
  <c r="I95" i="2"/>
  <c r="J94" i="2"/>
  <c r="I94" i="2"/>
  <c r="J93" i="2"/>
  <c r="I93" i="2"/>
  <c r="H92" i="2"/>
  <c r="J91" i="2"/>
  <c r="I91" i="2"/>
  <c r="J90" i="2"/>
  <c r="I90" i="2"/>
  <c r="J89" i="2"/>
  <c r="I89" i="2"/>
  <c r="H88" i="2"/>
  <c r="J87" i="2"/>
  <c r="I87" i="2"/>
  <c r="J86" i="2"/>
  <c r="I86" i="2"/>
  <c r="J85" i="2"/>
  <c r="I85" i="2"/>
  <c r="J83" i="2"/>
  <c r="I83" i="2"/>
  <c r="J82" i="2"/>
  <c r="I82" i="2"/>
  <c r="J81" i="2"/>
  <c r="I81" i="2"/>
  <c r="H84" i="2"/>
  <c r="H80" i="2"/>
  <c r="H76" i="2"/>
  <c r="H72" i="2"/>
  <c r="H68" i="2"/>
  <c r="I49" i="2"/>
  <c r="J49" i="2"/>
  <c r="J79" i="2"/>
  <c r="I79" i="2"/>
  <c r="J78" i="2"/>
  <c r="I78" i="2"/>
  <c r="J77" i="2"/>
  <c r="I77" i="2"/>
  <c r="J75" i="2"/>
  <c r="I75" i="2"/>
  <c r="J74" i="2"/>
  <c r="I74" i="2"/>
  <c r="J73" i="2"/>
  <c r="I73" i="2"/>
  <c r="J71" i="2"/>
  <c r="I71" i="2"/>
  <c r="J70" i="2"/>
  <c r="I70" i="2"/>
  <c r="J69" i="2"/>
  <c r="I69" i="2"/>
  <c r="J67" i="2"/>
  <c r="I67" i="2"/>
  <c r="J66" i="2"/>
  <c r="I66" i="2"/>
  <c r="J65" i="2"/>
  <c r="I65" i="2"/>
  <c r="H64" i="2"/>
  <c r="J63" i="2"/>
  <c r="I63" i="2"/>
  <c r="J62" i="2"/>
  <c r="I62" i="2"/>
  <c r="J61" i="2"/>
  <c r="I61" i="2"/>
  <c r="H60" i="2"/>
  <c r="J59" i="2"/>
  <c r="I59" i="2"/>
  <c r="J58" i="2"/>
  <c r="I58" i="2"/>
  <c r="J57" i="2"/>
  <c r="I57" i="2"/>
  <c r="H56" i="2"/>
  <c r="J55" i="2"/>
  <c r="I55" i="2"/>
  <c r="J54" i="2"/>
  <c r="I54" i="2"/>
  <c r="J53" i="2"/>
  <c r="I53" i="2"/>
  <c r="H52" i="2"/>
  <c r="J51" i="2"/>
  <c r="I51" i="2"/>
  <c r="J50" i="2"/>
  <c r="I50" i="2"/>
  <c r="H48" i="2"/>
  <c r="J47" i="2"/>
  <c r="I47" i="2"/>
  <c r="J46" i="2"/>
  <c r="I46" i="2"/>
  <c r="J45" i="2"/>
  <c r="I45" i="2"/>
  <c r="J43" i="2"/>
  <c r="I43" i="2"/>
  <c r="J42" i="2"/>
  <c r="I42" i="2"/>
  <c r="J41" i="2"/>
  <c r="I41" i="2"/>
  <c r="J39" i="2"/>
  <c r="I39" i="2"/>
  <c r="J38" i="2"/>
  <c r="I38" i="2"/>
  <c r="J37" i="2"/>
  <c r="I37" i="2"/>
  <c r="J35" i="2"/>
  <c r="I35" i="2"/>
  <c r="J34" i="2"/>
  <c r="I34" i="2"/>
  <c r="J33" i="2"/>
  <c r="I33" i="2"/>
  <c r="J31" i="2"/>
  <c r="I31" i="2"/>
  <c r="J30" i="2"/>
  <c r="I30" i="2"/>
  <c r="J29" i="2"/>
  <c r="I29" i="2"/>
  <c r="J27" i="2"/>
  <c r="I27" i="2"/>
  <c r="J26" i="2"/>
  <c r="I26" i="2"/>
  <c r="J25" i="2"/>
  <c r="I25" i="2"/>
  <c r="J23" i="2"/>
  <c r="I23" i="2"/>
  <c r="J22" i="2"/>
  <c r="I22" i="2"/>
  <c r="J21" i="2"/>
  <c r="I21" i="2"/>
  <c r="H44" i="2"/>
  <c r="H40" i="2"/>
  <c r="H36" i="2"/>
  <c r="H32" i="2"/>
  <c r="H28" i="2"/>
  <c r="H24" i="2"/>
  <c r="J19" i="2"/>
  <c r="I19" i="2"/>
  <c r="J18" i="2"/>
  <c r="I18" i="2"/>
  <c r="J17" i="2"/>
  <c r="I17" i="2"/>
  <c r="J15" i="2"/>
  <c r="I15" i="2"/>
  <c r="J14" i="2"/>
  <c r="I14" i="2"/>
  <c r="J13" i="2"/>
  <c r="I13" i="2"/>
  <c r="H20" i="2"/>
  <c r="H16" i="2"/>
  <c r="H12" i="2"/>
  <c r="J11" i="2"/>
  <c r="I11" i="2"/>
  <c r="J10" i="2"/>
  <c r="I10" i="2"/>
  <c r="J9" i="2"/>
  <c r="I9" i="2"/>
  <c r="H8" i="2"/>
  <c r="I6" i="2"/>
  <c r="J6" i="2"/>
  <c r="I7" i="2"/>
  <c r="J7" i="2"/>
  <c r="J5" i="2"/>
  <c r="I5" i="2"/>
  <c r="P211" i="2" l="1"/>
  <c r="T211" i="2" s="1"/>
  <c r="U211" i="2"/>
  <c r="P198" i="2"/>
  <c r="T198" i="2" s="1"/>
  <c r="U198" i="2"/>
  <c r="R61" i="2"/>
  <c r="P61" i="2"/>
  <c r="T61" i="2" s="1"/>
  <c r="Q200" i="2"/>
  <c r="R25" i="2"/>
  <c r="P25" i="2"/>
  <c r="T25" i="2" s="1"/>
  <c r="J208" i="2"/>
  <c r="I220" i="2"/>
  <c r="N216" i="2"/>
  <c r="R97" i="2"/>
  <c r="P97" i="2"/>
  <c r="T97" i="2" s="1"/>
  <c r="I208" i="2"/>
  <c r="J204" i="2"/>
  <c r="I216" i="2"/>
  <c r="I212" i="2"/>
  <c r="I200" i="2"/>
  <c r="J220" i="2"/>
  <c r="R134" i="2"/>
  <c r="P134" i="2"/>
  <c r="T134" i="2" s="1"/>
  <c r="R141" i="2"/>
  <c r="P141" i="2"/>
  <c r="T141" i="2" s="1"/>
  <c r="R174" i="2"/>
  <c r="P174" i="2"/>
  <c r="T174" i="2" s="1"/>
  <c r="J200" i="2"/>
  <c r="J212" i="2"/>
  <c r="R67" i="2"/>
  <c r="P67" i="2"/>
  <c r="T67" i="2" s="1"/>
  <c r="R7" i="2"/>
  <c r="U7" i="2" s="1"/>
  <c r="N200" i="2"/>
  <c r="P197" i="2"/>
  <c r="T197" i="2" s="1"/>
  <c r="R31" i="2"/>
  <c r="P31" i="2"/>
  <c r="T31" i="2" s="1"/>
  <c r="R103" i="2"/>
  <c r="P103" i="2"/>
  <c r="T103" i="2" s="1"/>
  <c r="R47" i="2"/>
  <c r="U47" i="2" s="1"/>
  <c r="N29" i="2"/>
  <c r="N137" i="2"/>
  <c r="O137" i="2" s="1"/>
  <c r="P83" i="2"/>
  <c r="T83" i="2" s="1"/>
  <c r="R83" i="2"/>
  <c r="U83" i="2" s="1"/>
  <c r="N105" i="2"/>
  <c r="O105" i="2" s="1"/>
  <c r="O119" i="2"/>
  <c r="R119" i="2"/>
  <c r="U119" i="2" s="1"/>
  <c r="N228" i="2"/>
  <c r="P6" i="2"/>
  <c r="T6" i="2" s="1"/>
  <c r="R6" i="2"/>
  <c r="U6" i="2" s="1"/>
  <c r="P50" i="2"/>
  <c r="T50" i="2" s="1"/>
  <c r="R50" i="2"/>
  <c r="R52" i="2" s="1"/>
  <c r="P19" i="2"/>
  <c r="T19" i="2" s="1"/>
  <c r="R19" i="2"/>
  <c r="N62" i="2"/>
  <c r="U62" i="2" s="1"/>
  <c r="U64" i="2" s="1"/>
  <c r="O224" i="2"/>
  <c r="N223" i="2"/>
  <c r="T114" i="2"/>
  <c r="N206" i="2"/>
  <c r="R206" i="2" s="1"/>
  <c r="O10" i="2"/>
  <c r="R10" i="2"/>
  <c r="N21" i="2"/>
  <c r="N42" i="2"/>
  <c r="R42" i="2" s="1"/>
  <c r="T42" i="2"/>
  <c r="N63" i="2"/>
  <c r="U63" i="2" s="1"/>
  <c r="N74" i="2"/>
  <c r="R74" i="2" s="1"/>
  <c r="T74" i="2"/>
  <c r="N151" i="2"/>
  <c r="T151" i="2"/>
  <c r="N143" i="2"/>
  <c r="N135" i="2"/>
  <c r="O127" i="2"/>
  <c r="R127" i="2"/>
  <c r="R128" i="2" s="1"/>
  <c r="N101" i="2"/>
  <c r="O101" i="2" s="1"/>
  <c r="N109" i="2"/>
  <c r="R109" i="2" s="1"/>
  <c r="T109" i="2"/>
  <c r="N169" i="2"/>
  <c r="N173" i="2"/>
  <c r="O173" i="2" s="1"/>
  <c r="N177" i="2"/>
  <c r="O177" i="2" s="1"/>
  <c r="N181" i="2"/>
  <c r="R181" i="2" s="1"/>
  <c r="T181" i="2"/>
  <c r="N226" i="2"/>
  <c r="R131" i="2"/>
  <c r="R132" i="2" s="1"/>
  <c r="T185" i="2"/>
  <c r="N30" i="2"/>
  <c r="O30" i="2" s="1"/>
  <c r="N102" i="2"/>
  <c r="O102" i="2" s="1"/>
  <c r="N43" i="2"/>
  <c r="R43" i="2" s="1"/>
  <c r="T43" i="2"/>
  <c r="N65" i="2"/>
  <c r="N75" i="2"/>
  <c r="R75" i="2" s="1"/>
  <c r="T75" i="2"/>
  <c r="N150" i="2"/>
  <c r="R150" i="2" s="1"/>
  <c r="T150" i="2"/>
  <c r="N142" i="2"/>
  <c r="O142" i="2" s="1"/>
  <c r="P95" i="2"/>
  <c r="T95" i="2" s="1"/>
  <c r="R95" i="2"/>
  <c r="R96" i="2" s="1"/>
  <c r="N111" i="2"/>
  <c r="T111" i="2"/>
  <c r="I21" i="3"/>
  <c r="T77" i="2"/>
  <c r="S131" i="2"/>
  <c r="N107" i="2"/>
  <c r="N23" i="2"/>
  <c r="U23" i="2" s="1"/>
  <c r="N34" i="2"/>
  <c r="R34" i="2" s="1"/>
  <c r="T34" i="2"/>
  <c r="P45" i="2"/>
  <c r="T45" i="2" s="1"/>
  <c r="R45" i="2"/>
  <c r="P55" i="2"/>
  <c r="T55" i="2" s="1"/>
  <c r="R55" i="2"/>
  <c r="R56" i="2" s="1"/>
  <c r="N66" i="2"/>
  <c r="N68" i="2" s="1"/>
  <c r="N149" i="2"/>
  <c r="R149" i="2" s="1"/>
  <c r="T149" i="2"/>
  <c r="N133" i="2"/>
  <c r="U133" i="2" s="1"/>
  <c r="N98" i="2"/>
  <c r="U98" i="2" s="1"/>
  <c r="N113" i="2"/>
  <c r="R113" i="2" s="1"/>
  <c r="T113" i="2"/>
  <c r="R11" i="2"/>
  <c r="T39" i="2"/>
  <c r="T147" i="2"/>
  <c r="N145" i="2"/>
  <c r="R145" i="2" s="1"/>
  <c r="T145" i="2"/>
  <c r="N41" i="2"/>
  <c r="R41" i="2" s="1"/>
  <c r="T41" i="2"/>
  <c r="N73" i="2"/>
  <c r="R73" i="2" s="1"/>
  <c r="T73" i="2"/>
  <c r="O14" i="2"/>
  <c r="R14" i="2"/>
  <c r="N35" i="2"/>
  <c r="R35" i="2" s="1"/>
  <c r="T35" i="2"/>
  <c r="P46" i="2"/>
  <c r="T46" i="2" s="1"/>
  <c r="R46" i="2"/>
  <c r="U46" i="2" s="1"/>
  <c r="N78" i="2"/>
  <c r="R78" i="2" s="1"/>
  <c r="T78" i="2"/>
  <c r="O86" i="2"/>
  <c r="R86" i="2"/>
  <c r="R88" i="2" s="1"/>
  <c r="N99" i="2"/>
  <c r="N115" i="2"/>
  <c r="R115" i="2" s="1"/>
  <c r="T115" i="2"/>
  <c r="R160" i="2"/>
  <c r="N170" i="2"/>
  <c r="U170" i="2" s="1"/>
  <c r="N178" i="2"/>
  <c r="O178" i="2" s="1"/>
  <c r="N182" i="2"/>
  <c r="R182" i="2" s="1"/>
  <c r="T182" i="2"/>
  <c r="N186" i="2"/>
  <c r="R186" i="2" s="1"/>
  <c r="R188" i="2" s="1"/>
  <c r="T186" i="2"/>
  <c r="O18" i="2"/>
  <c r="R18" i="2"/>
  <c r="N33" i="2"/>
  <c r="R33" i="2" s="1"/>
  <c r="T33" i="2"/>
  <c r="N37" i="2"/>
  <c r="R37" i="2" s="1"/>
  <c r="T37" i="2"/>
  <c r="N69" i="2"/>
  <c r="N79" i="2"/>
  <c r="R79" i="2" s="1"/>
  <c r="T79" i="2"/>
  <c r="O147" i="2"/>
  <c r="R147" i="2"/>
  <c r="N139" i="2"/>
  <c r="P139" i="2" s="1"/>
  <c r="T139" i="2" s="1"/>
  <c r="O123" i="2"/>
  <c r="R123" i="2"/>
  <c r="R124" i="2" s="1"/>
  <c r="U117" i="2"/>
  <c r="T70" i="2"/>
  <c r="T110" i="2"/>
  <c r="N71" i="2"/>
  <c r="P71" i="2" s="1"/>
  <c r="T71" i="2" s="1"/>
  <c r="P90" i="2"/>
  <c r="T90" i="2" s="1"/>
  <c r="R90" i="2"/>
  <c r="R92" i="2" s="1"/>
  <c r="O229" i="2"/>
  <c r="N230" i="2"/>
  <c r="N22" i="2"/>
  <c r="U22" i="2" s="1"/>
  <c r="N26" i="2"/>
  <c r="N27" i="2"/>
  <c r="O27" i="2" s="1"/>
  <c r="S27" i="2" s="1"/>
  <c r="U31" i="2" s="1"/>
  <c r="N38" i="2"/>
  <c r="R38" i="2" s="1"/>
  <c r="T38" i="2"/>
  <c r="P59" i="2"/>
  <c r="T59" i="2" s="1"/>
  <c r="R59" i="2"/>
  <c r="R60" i="2" s="1"/>
  <c r="O70" i="2"/>
  <c r="R70" i="2"/>
  <c r="N146" i="2"/>
  <c r="R146" i="2" s="1"/>
  <c r="T146" i="2"/>
  <c r="N138" i="2"/>
  <c r="N106" i="2"/>
  <c r="O106" i="2" s="1"/>
  <c r="N227" i="2"/>
  <c r="R15" i="2"/>
  <c r="N210" i="2"/>
  <c r="U210" i="2" s="1"/>
  <c r="N219" i="2"/>
  <c r="P219" i="2" s="1"/>
  <c r="T219" i="2" s="1"/>
  <c r="I204" i="2"/>
  <c r="T203" i="2"/>
  <c r="T218" i="2"/>
  <c r="T201" i="2"/>
  <c r="T213" i="2"/>
  <c r="T215" i="2"/>
  <c r="N4" i="3"/>
  <c r="R166" i="2"/>
  <c r="R162" i="2"/>
  <c r="N11" i="3"/>
  <c r="N199" i="2"/>
  <c r="O203" i="2"/>
  <c r="R203" i="2"/>
  <c r="R207" i="2"/>
  <c r="O207" i="2"/>
  <c r="O218" i="2"/>
  <c r="S218" i="2" s="1"/>
  <c r="R218" i="2"/>
  <c r="R214" i="2"/>
  <c r="O214" i="2"/>
  <c r="O215" i="2"/>
  <c r="R215" i="2"/>
  <c r="O211" i="2"/>
  <c r="R211" i="2"/>
  <c r="N202" i="2"/>
  <c r="O198" i="2"/>
  <c r="R198" i="2"/>
  <c r="N217" i="2"/>
  <c r="O213" i="2"/>
  <c r="R213" i="2"/>
  <c r="N209" i="2"/>
  <c r="N205" i="2"/>
  <c r="R201" i="2"/>
  <c r="O201" i="2"/>
  <c r="O197" i="2"/>
  <c r="R197" i="2"/>
  <c r="H9" i="3"/>
  <c r="I9" i="3" s="1"/>
  <c r="H7" i="3"/>
  <c r="I7" i="3" s="1"/>
  <c r="H8" i="3"/>
  <c r="I8" i="3" s="1"/>
  <c r="I6" i="3"/>
  <c r="J6" i="3" s="1"/>
  <c r="J12" i="3" s="1"/>
  <c r="I156" i="2"/>
  <c r="I160" i="2"/>
  <c r="J160" i="2"/>
  <c r="J164" i="2"/>
  <c r="I172" i="2"/>
  <c r="I176" i="2"/>
  <c r="I180" i="2"/>
  <c r="I184" i="2"/>
  <c r="I188" i="2"/>
  <c r="J156" i="2"/>
  <c r="I168" i="2"/>
  <c r="J176" i="2"/>
  <c r="J180" i="2"/>
  <c r="J184" i="2"/>
  <c r="J188" i="2"/>
  <c r="I164" i="2"/>
  <c r="J168" i="2"/>
  <c r="O174" i="2"/>
  <c r="K160" i="2"/>
  <c r="M161" i="2"/>
  <c r="N161" i="2" s="1"/>
  <c r="M165" i="2"/>
  <c r="N165" i="2" s="1"/>
  <c r="J172" i="2"/>
  <c r="N188" i="2"/>
  <c r="O185" i="2"/>
  <c r="S185" i="2" s="1"/>
  <c r="O181" i="2"/>
  <c r="N176" i="2"/>
  <c r="O166" i="2"/>
  <c r="O162" i="2"/>
  <c r="P158" i="2"/>
  <c r="T158" i="2" s="1"/>
  <c r="O158" i="2"/>
  <c r="O157" i="2"/>
  <c r="N160" i="2"/>
  <c r="P157" i="2"/>
  <c r="T157" i="2" s="1"/>
  <c r="M153" i="2"/>
  <c r="N153" i="2" s="1"/>
  <c r="N5" i="2"/>
  <c r="O154" i="2"/>
  <c r="P154" i="2"/>
  <c r="T154" i="2" s="1"/>
  <c r="I44" i="2"/>
  <c r="J152" i="2"/>
  <c r="J64" i="2"/>
  <c r="J100" i="2"/>
  <c r="J16" i="2"/>
  <c r="J48" i="2"/>
  <c r="I136" i="2"/>
  <c r="I148" i="2"/>
  <c r="I140" i="2"/>
  <c r="J144" i="2"/>
  <c r="I124" i="2"/>
  <c r="I128" i="2"/>
  <c r="J132" i="2"/>
  <c r="J88" i="2"/>
  <c r="I152" i="2"/>
  <c r="J20" i="2"/>
  <c r="I24" i="2"/>
  <c r="I32" i="2"/>
  <c r="J44" i="2"/>
  <c r="J84" i="2"/>
  <c r="J120" i="2"/>
  <c r="I132" i="2"/>
  <c r="I144" i="2"/>
  <c r="I84" i="2"/>
  <c r="I100" i="2"/>
  <c r="I120" i="2"/>
  <c r="J124" i="2"/>
  <c r="J128" i="2"/>
  <c r="J136" i="2"/>
  <c r="J140" i="2"/>
  <c r="J148" i="2"/>
  <c r="P118" i="2"/>
  <c r="T118" i="2" s="1"/>
  <c r="O118" i="2"/>
  <c r="P126" i="2"/>
  <c r="T126" i="2" s="1"/>
  <c r="O126" i="2"/>
  <c r="P129" i="2"/>
  <c r="T129" i="2" s="1"/>
  <c r="N132" i="2"/>
  <c r="O129" i="2"/>
  <c r="S129" i="2" s="1"/>
  <c r="P122" i="2"/>
  <c r="T122" i="2" s="1"/>
  <c r="O122" i="2"/>
  <c r="N128" i="2"/>
  <c r="O125" i="2"/>
  <c r="S125" i="2" s="1"/>
  <c r="U129" i="2" s="1"/>
  <c r="P125" i="2"/>
  <c r="T125" i="2" s="1"/>
  <c r="O138" i="2"/>
  <c r="O141" i="2"/>
  <c r="P117" i="2"/>
  <c r="T117" i="2" s="1"/>
  <c r="N120" i="2"/>
  <c r="O117" i="2"/>
  <c r="P121" i="2"/>
  <c r="T121" i="2" s="1"/>
  <c r="N124" i="2"/>
  <c r="O121" i="2"/>
  <c r="S121" i="2" s="1"/>
  <c r="U125" i="2" s="1"/>
  <c r="O134" i="2"/>
  <c r="P130" i="2"/>
  <c r="T130" i="2" s="1"/>
  <c r="O130" i="2"/>
  <c r="O149" i="2"/>
  <c r="S149" i="2" s="1"/>
  <c r="P119" i="2"/>
  <c r="T119" i="2" s="1"/>
  <c r="P123" i="2"/>
  <c r="T123" i="2" s="1"/>
  <c r="P127" i="2"/>
  <c r="T127" i="2" s="1"/>
  <c r="P131" i="2"/>
  <c r="T131" i="2" s="1"/>
  <c r="J28" i="2"/>
  <c r="J40" i="2"/>
  <c r="J36" i="2"/>
  <c r="I28" i="2"/>
  <c r="J32" i="2"/>
  <c r="I48" i="2"/>
  <c r="J76" i="2"/>
  <c r="I116" i="2"/>
  <c r="J116" i="2"/>
  <c r="J112" i="2"/>
  <c r="I112" i="2"/>
  <c r="I108" i="2"/>
  <c r="J108" i="2"/>
  <c r="I104" i="2"/>
  <c r="J104" i="2"/>
  <c r="J96" i="2"/>
  <c r="I96" i="2"/>
  <c r="I92" i="2"/>
  <c r="J92" i="2"/>
  <c r="I88" i="2"/>
  <c r="O114" i="2"/>
  <c r="S114" i="2" s="1"/>
  <c r="O110" i="2"/>
  <c r="O103" i="2"/>
  <c r="O97" i="2"/>
  <c r="N96" i="2"/>
  <c r="O93" i="2"/>
  <c r="P93" i="2"/>
  <c r="T93" i="2" s="1"/>
  <c r="P94" i="2"/>
  <c r="T94" i="2" s="1"/>
  <c r="O94" i="2"/>
  <c r="O95" i="2"/>
  <c r="P89" i="2"/>
  <c r="T89" i="2" s="1"/>
  <c r="N92" i="2"/>
  <c r="O89" i="2"/>
  <c r="P91" i="2"/>
  <c r="T91" i="2" s="1"/>
  <c r="O91" i="2"/>
  <c r="O90" i="2"/>
  <c r="P85" i="2"/>
  <c r="T85" i="2" s="1"/>
  <c r="N88" i="2"/>
  <c r="O85" i="2"/>
  <c r="O87" i="2"/>
  <c r="P87" i="2"/>
  <c r="T87" i="2" s="1"/>
  <c r="P86" i="2"/>
  <c r="T86" i="2" s="1"/>
  <c r="O81" i="2"/>
  <c r="N84" i="2"/>
  <c r="P81" i="2"/>
  <c r="T81" i="2" s="1"/>
  <c r="P82" i="2"/>
  <c r="T82" i="2" s="1"/>
  <c r="O82" i="2"/>
  <c r="O83" i="2"/>
  <c r="O63" i="2"/>
  <c r="J12" i="2"/>
  <c r="I64" i="2"/>
  <c r="J72" i="2"/>
  <c r="I40" i="2"/>
  <c r="J24" i="2"/>
  <c r="I36" i="2"/>
  <c r="I68" i="2"/>
  <c r="I76" i="2"/>
  <c r="I80" i="2"/>
  <c r="J68" i="2"/>
  <c r="I72" i="2"/>
  <c r="J80" i="2"/>
  <c r="O67" i="2"/>
  <c r="O77" i="2"/>
  <c r="N64" i="2"/>
  <c r="O61" i="2"/>
  <c r="J60" i="2"/>
  <c r="I60" i="2"/>
  <c r="J56" i="2"/>
  <c r="I56" i="2"/>
  <c r="I52" i="2"/>
  <c r="J52" i="2"/>
  <c r="N80" i="2"/>
  <c r="N60" i="2"/>
  <c r="O57" i="2"/>
  <c r="P57" i="2"/>
  <c r="T57" i="2" s="1"/>
  <c r="P58" i="2"/>
  <c r="T58" i="2" s="1"/>
  <c r="O58" i="2"/>
  <c r="O59" i="2"/>
  <c r="N56" i="2"/>
  <c r="O53" i="2"/>
  <c r="P53" i="2"/>
  <c r="T53" i="2" s="1"/>
  <c r="P54" i="2"/>
  <c r="T54" i="2" s="1"/>
  <c r="O54" i="2"/>
  <c r="O55" i="2"/>
  <c r="P49" i="2"/>
  <c r="T49" i="2" s="1"/>
  <c r="N52" i="2"/>
  <c r="O49" i="2"/>
  <c r="P51" i="2"/>
  <c r="T51" i="2" s="1"/>
  <c r="O51" i="2"/>
  <c r="O50" i="2"/>
  <c r="N48" i="2"/>
  <c r="O45" i="2"/>
  <c r="O46" i="2"/>
  <c r="O47" i="2"/>
  <c r="O38" i="2"/>
  <c r="O6" i="2"/>
  <c r="Q6" i="2" s="1"/>
  <c r="O39" i="2"/>
  <c r="O31" i="2"/>
  <c r="O29" i="2"/>
  <c r="O25" i="2"/>
  <c r="O26" i="2"/>
  <c r="P10" i="2"/>
  <c r="T10" i="2" s="1"/>
  <c r="I16" i="2"/>
  <c r="I20" i="2"/>
  <c r="J8" i="2"/>
  <c r="I8" i="2"/>
  <c r="I12" i="2"/>
  <c r="P14" i="2"/>
  <c r="T14" i="2" s="1"/>
  <c r="P18" i="2"/>
  <c r="T18" i="2" s="1"/>
  <c r="P17" i="2"/>
  <c r="T17" i="2" s="1"/>
  <c r="O17" i="2"/>
  <c r="N20" i="2"/>
  <c r="O19" i="2"/>
  <c r="P13" i="2"/>
  <c r="T13" i="2" s="1"/>
  <c r="O13" i="2"/>
  <c r="N16" i="2"/>
  <c r="O15" i="2"/>
  <c r="P9" i="2"/>
  <c r="T9" i="2" s="1"/>
  <c r="O9" i="2"/>
  <c r="N12" i="2"/>
  <c r="O11" i="2"/>
  <c r="O7" i="2"/>
  <c r="Q7" i="2" s="1"/>
  <c r="P199" i="2" l="1"/>
  <c r="T199" i="2" s="1"/>
  <c r="U199" i="2"/>
  <c r="O169" i="2"/>
  <c r="U169" i="2"/>
  <c r="U172" i="2" s="1"/>
  <c r="O33" i="2"/>
  <c r="O99" i="2"/>
  <c r="Q103" i="2" s="1"/>
  <c r="U99" i="2"/>
  <c r="U100" i="2" s="1"/>
  <c r="P135" i="2"/>
  <c r="T135" i="2" s="1"/>
  <c r="U135" i="2"/>
  <c r="P209" i="2"/>
  <c r="T209" i="2" s="1"/>
  <c r="U209" i="2"/>
  <c r="U212" i="2" s="1"/>
  <c r="U136" i="2"/>
  <c r="P21" i="2"/>
  <c r="T21" i="2" s="1"/>
  <c r="U21" i="2"/>
  <c r="U24" i="2" s="1"/>
  <c r="O37" i="2"/>
  <c r="O40" i="2" s="1"/>
  <c r="R65" i="2"/>
  <c r="P65" i="2"/>
  <c r="T65" i="2" s="1"/>
  <c r="R69" i="2"/>
  <c r="P69" i="2"/>
  <c r="T69" i="2" s="1"/>
  <c r="R29" i="2"/>
  <c r="P29" i="2"/>
  <c r="T29" i="2" s="1"/>
  <c r="O41" i="2"/>
  <c r="Q45" i="2" s="1"/>
  <c r="O65" i="2"/>
  <c r="S65" i="2" s="1"/>
  <c r="U69" i="2" s="1"/>
  <c r="U72" i="2" s="1"/>
  <c r="O73" i="2"/>
  <c r="N104" i="2"/>
  <c r="O35" i="2"/>
  <c r="S35" i="2" s="1"/>
  <c r="O78" i="2"/>
  <c r="S78" i="2" s="1"/>
  <c r="O146" i="2"/>
  <c r="S146" i="2" s="1"/>
  <c r="R36" i="2"/>
  <c r="O186" i="2"/>
  <c r="S186" i="2" s="1"/>
  <c r="O109" i="2"/>
  <c r="S109" i="2" s="1"/>
  <c r="N28" i="2"/>
  <c r="N44" i="2"/>
  <c r="O42" i="2"/>
  <c r="O66" i="2"/>
  <c r="S66" i="2" s="1"/>
  <c r="U70" i="2" s="1"/>
  <c r="O75" i="2"/>
  <c r="Q79" i="2" s="1"/>
  <c r="O115" i="2"/>
  <c r="S115" i="2" s="1"/>
  <c r="R20" i="2"/>
  <c r="N32" i="2"/>
  <c r="N116" i="2"/>
  <c r="N180" i="2"/>
  <c r="N108" i="2"/>
  <c r="R120" i="2"/>
  <c r="R16" i="2"/>
  <c r="O34" i="2"/>
  <c r="Q38" i="2" s="1"/>
  <c r="N112" i="2"/>
  <c r="R116" i="2"/>
  <c r="O79" i="2"/>
  <c r="Q83" i="2" s="1"/>
  <c r="N76" i="2"/>
  <c r="N136" i="2"/>
  <c r="U120" i="2"/>
  <c r="R22" i="2"/>
  <c r="P22" i="2"/>
  <c r="T22" i="2" s="1"/>
  <c r="R170" i="2"/>
  <c r="P170" i="2"/>
  <c r="T170" i="2" s="1"/>
  <c r="R133" i="2"/>
  <c r="P133" i="2"/>
  <c r="T133" i="2" s="1"/>
  <c r="R66" i="2"/>
  <c r="R68" i="2" s="1"/>
  <c r="P66" i="2"/>
  <c r="T66" i="2" s="1"/>
  <c r="R23" i="2"/>
  <c r="P23" i="2"/>
  <c r="T23" i="2" s="1"/>
  <c r="R30" i="2"/>
  <c r="R32" i="2" s="1"/>
  <c r="P30" i="2"/>
  <c r="T30" i="2" s="1"/>
  <c r="N144" i="2"/>
  <c r="P143" i="2"/>
  <c r="T143" i="2" s="1"/>
  <c r="R62" i="2"/>
  <c r="P62" i="2"/>
  <c r="T62" i="2" s="1"/>
  <c r="O23" i="2"/>
  <c r="N36" i="2"/>
  <c r="O43" i="2"/>
  <c r="S43" i="2" s="1"/>
  <c r="O22" i="2"/>
  <c r="S22" i="2" s="1"/>
  <c r="U26" i="2" s="1"/>
  <c r="O133" i="2"/>
  <c r="S133" i="2" s="1"/>
  <c r="U137" i="2" s="1"/>
  <c r="O150" i="2"/>
  <c r="S150" i="2" s="1"/>
  <c r="N172" i="2"/>
  <c r="N204" i="2"/>
  <c r="P202" i="2"/>
  <c r="T202" i="2" s="1"/>
  <c r="R106" i="2"/>
  <c r="P106" i="2"/>
  <c r="T106" i="2" s="1"/>
  <c r="R99" i="2"/>
  <c r="P99" i="2"/>
  <c r="T99" i="2" s="1"/>
  <c r="R80" i="2"/>
  <c r="R44" i="2"/>
  <c r="R173" i="2"/>
  <c r="R176" i="2" s="1"/>
  <c r="P173" i="2"/>
  <c r="T173" i="2" s="1"/>
  <c r="O206" i="2"/>
  <c r="S206" i="2" s="1"/>
  <c r="P206" i="2"/>
  <c r="T206" i="2" s="1"/>
  <c r="N208" i="2"/>
  <c r="P205" i="2"/>
  <c r="T205" i="2" s="1"/>
  <c r="N220" i="2"/>
  <c r="P217" i="2"/>
  <c r="T217" i="2" s="1"/>
  <c r="R27" i="2"/>
  <c r="P27" i="2"/>
  <c r="T27" i="2" s="1"/>
  <c r="R178" i="2"/>
  <c r="P178" i="2"/>
  <c r="T178" i="2" s="1"/>
  <c r="R12" i="2"/>
  <c r="R98" i="2"/>
  <c r="P98" i="2"/>
  <c r="T98" i="2" s="1"/>
  <c r="R142" i="2"/>
  <c r="P142" i="2"/>
  <c r="T142" i="2" s="1"/>
  <c r="R102" i="2"/>
  <c r="P102" i="2"/>
  <c r="T102" i="2" s="1"/>
  <c r="R101" i="2"/>
  <c r="P101" i="2"/>
  <c r="T101" i="2" s="1"/>
  <c r="R63" i="2"/>
  <c r="P63" i="2"/>
  <c r="T63" i="2" s="1"/>
  <c r="R105" i="2"/>
  <c r="P105" i="2"/>
  <c r="T105" i="2" s="1"/>
  <c r="R137" i="2"/>
  <c r="P137" i="2"/>
  <c r="T137" i="2" s="1"/>
  <c r="N40" i="2"/>
  <c r="O62" i="2"/>
  <c r="Q66" i="2" s="1"/>
  <c r="O74" i="2"/>
  <c r="N72" i="2"/>
  <c r="N100" i="2"/>
  <c r="O113" i="2"/>
  <c r="S113" i="2" s="1"/>
  <c r="S116" i="2" s="1"/>
  <c r="N152" i="2"/>
  <c r="N140" i="2"/>
  <c r="R210" i="2"/>
  <c r="P210" i="2"/>
  <c r="T210" i="2" s="1"/>
  <c r="R138" i="2"/>
  <c r="P138" i="2"/>
  <c r="T138" i="2" s="1"/>
  <c r="R26" i="2"/>
  <c r="P26" i="2"/>
  <c r="T26" i="2" s="1"/>
  <c r="R148" i="2"/>
  <c r="R107" i="2"/>
  <c r="P107" i="2"/>
  <c r="T107" i="2" s="1"/>
  <c r="R177" i="2"/>
  <c r="P177" i="2"/>
  <c r="T177" i="2" s="1"/>
  <c r="R169" i="2"/>
  <c r="P169" i="2"/>
  <c r="T169" i="2" s="1"/>
  <c r="O71" i="2"/>
  <c r="R71" i="2"/>
  <c r="Q127" i="2"/>
  <c r="S123" i="2"/>
  <c r="Q22" i="2"/>
  <c r="S18" i="2"/>
  <c r="N24" i="2"/>
  <c r="S31" i="2"/>
  <c r="U35" i="2" s="1"/>
  <c r="Q35" i="2"/>
  <c r="S46" i="2"/>
  <c r="U50" i="2" s="1"/>
  <c r="Q50" i="2"/>
  <c r="Q62" i="2"/>
  <c r="S58" i="2"/>
  <c r="S79" i="2"/>
  <c r="S63" i="2"/>
  <c r="U67" i="2" s="1"/>
  <c r="Q67" i="2"/>
  <c r="Q93" i="2"/>
  <c r="S89" i="2"/>
  <c r="U93" i="2" s="1"/>
  <c r="Q110" i="2"/>
  <c r="S106" i="2"/>
  <c r="U110" i="2" s="1"/>
  <c r="S141" i="2"/>
  <c r="U145" i="2" s="1"/>
  <c r="Q145" i="2"/>
  <c r="O5" i="2"/>
  <c r="Q5" i="2" s="1"/>
  <c r="R5" i="2"/>
  <c r="S13" i="2"/>
  <c r="U17" i="2" s="1"/>
  <c r="Q17" i="2"/>
  <c r="S26" i="2"/>
  <c r="U30" i="2" s="1"/>
  <c r="Q30" i="2"/>
  <c r="S34" i="2"/>
  <c r="S45" i="2"/>
  <c r="U49" i="2" s="1"/>
  <c r="Q49" i="2"/>
  <c r="Q59" i="2"/>
  <c r="S55" i="2"/>
  <c r="U59" i="2" s="1"/>
  <c r="O69" i="2"/>
  <c r="Q87" i="2"/>
  <c r="S83" i="2"/>
  <c r="U87" i="2" s="1"/>
  <c r="Q91" i="2"/>
  <c r="S87" i="2"/>
  <c r="U91" i="2" s="1"/>
  <c r="O107" i="2"/>
  <c r="O108" i="2" s="1"/>
  <c r="Q134" i="2"/>
  <c r="S130" i="2"/>
  <c r="S132" i="2" s="1"/>
  <c r="O153" i="2"/>
  <c r="O156" i="2" s="1"/>
  <c r="R153" i="2"/>
  <c r="O170" i="2"/>
  <c r="O172" i="2" s="1"/>
  <c r="O182" i="2"/>
  <c r="O161" i="2"/>
  <c r="O164" i="2" s="1"/>
  <c r="R161" i="2"/>
  <c r="R164" i="2" s="1"/>
  <c r="R216" i="2"/>
  <c r="S211" i="2"/>
  <c r="Q215" i="2"/>
  <c r="O210" i="2"/>
  <c r="Q214" i="2" s="1"/>
  <c r="O139" i="2"/>
  <c r="R139" i="2"/>
  <c r="R40" i="2"/>
  <c r="O135" i="2"/>
  <c r="R135" i="2"/>
  <c r="O225" i="2"/>
  <c r="N225" i="2" s="1"/>
  <c r="N224" i="2"/>
  <c r="S7" i="2"/>
  <c r="U11" i="2" s="1"/>
  <c r="Q11" i="2"/>
  <c r="Q29" i="2"/>
  <c r="S25" i="2"/>
  <c r="U29" i="2" s="1"/>
  <c r="U32" i="2" s="1"/>
  <c r="S85" i="2"/>
  <c r="U89" i="2" s="1"/>
  <c r="U92" i="2" s="1"/>
  <c r="Q89" i="2"/>
  <c r="O98" i="2"/>
  <c r="O145" i="2"/>
  <c r="O148" i="2" s="1"/>
  <c r="Q142" i="2"/>
  <c r="S138" i="2"/>
  <c r="U142" i="2" s="1"/>
  <c r="S169" i="2"/>
  <c r="U173" i="2" s="1"/>
  <c r="Q173" i="2"/>
  <c r="Q185" i="2"/>
  <c r="S181" i="2"/>
  <c r="S213" i="2"/>
  <c r="U220" i="2" s="1"/>
  <c r="Q217" i="2"/>
  <c r="O216" i="2"/>
  <c r="S86" i="2"/>
  <c r="U90" i="2" s="1"/>
  <c r="Q90" i="2"/>
  <c r="R48" i="2"/>
  <c r="U45" i="2"/>
  <c r="U48" i="2" s="1"/>
  <c r="O111" i="2"/>
  <c r="R111" i="2"/>
  <c r="R112" i="2" s="1"/>
  <c r="R184" i="2"/>
  <c r="Q31" i="2"/>
  <c r="S51" i="2"/>
  <c r="U55" i="2" s="1"/>
  <c r="Q55" i="2"/>
  <c r="Q71" i="2"/>
  <c r="S67" i="2"/>
  <c r="U71" i="2" s="1"/>
  <c r="S73" i="2"/>
  <c r="Q77" i="2"/>
  <c r="Q98" i="2"/>
  <c r="S94" i="2"/>
  <c r="Q114" i="2"/>
  <c r="S110" i="2"/>
  <c r="S137" i="2"/>
  <c r="U141" i="2" s="1"/>
  <c r="Q141" i="2"/>
  <c r="S142" i="2"/>
  <c r="U146" i="2" s="1"/>
  <c r="Q146" i="2"/>
  <c r="S157" i="2"/>
  <c r="U161" i="2" s="1"/>
  <c r="U164" i="2" s="1"/>
  <c r="Q161" i="2"/>
  <c r="S197" i="2"/>
  <c r="O200" i="2"/>
  <c r="Q201" i="2"/>
  <c r="S214" i="2"/>
  <c r="Q218" i="2"/>
  <c r="S9" i="2"/>
  <c r="U13" i="2" s="1"/>
  <c r="U16" i="2" s="1"/>
  <c r="Q13" i="2"/>
  <c r="S17" i="2"/>
  <c r="Q21" i="2"/>
  <c r="Q34" i="2"/>
  <c r="S30" i="2"/>
  <c r="U34" i="2" s="1"/>
  <c r="S39" i="2"/>
  <c r="Q43" i="2"/>
  <c r="S38" i="2"/>
  <c r="Q42" i="2"/>
  <c r="S53" i="2"/>
  <c r="U57" i="2" s="1"/>
  <c r="Q57" i="2"/>
  <c r="Q65" i="2"/>
  <c r="S61" i="2"/>
  <c r="U65" i="2" s="1"/>
  <c r="Q94" i="2"/>
  <c r="S90" i="2"/>
  <c r="S117" i="2"/>
  <c r="Q121" i="2"/>
  <c r="Q122" i="2"/>
  <c r="S118" i="2"/>
  <c r="U122" i="2" s="1"/>
  <c r="S158" i="2"/>
  <c r="U162" i="2" s="1"/>
  <c r="Q162" i="2"/>
  <c r="S173" i="2"/>
  <c r="U177" i="2" s="1"/>
  <c r="Q177" i="2"/>
  <c r="S188" i="2"/>
  <c r="Q33" i="2"/>
  <c r="S29" i="2"/>
  <c r="U33" i="2" s="1"/>
  <c r="S42" i="2"/>
  <c r="S49" i="2"/>
  <c r="U53" i="2" s="1"/>
  <c r="Q53" i="2"/>
  <c r="Q85" i="2"/>
  <c r="S81" i="2"/>
  <c r="U85" i="2" s="1"/>
  <c r="Q95" i="2"/>
  <c r="S91" i="2"/>
  <c r="U95" i="2" s="1"/>
  <c r="Q105" i="2"/>
  <c r="S101" i="2"/>
  <c r="U105" i="2" s="1"/>
  <c r="Q138" i="2"/>
  <c r="S134" i="2"/>
  <c r="U138" i="2" s="1"/>
  <c r="Q126" i="2"/>
  <c r="S122" i="2"/>
  <c r="U126" i="2" s="1"/>
  <c r="S178" i="2"/>
  <c r="U182" i="2" s="1"/>
  <c r="Q182" i="2"/>
  <c r="S15" i="2"/>
  <c r="U19" i="2" s="1"/>
  <c r="Q19" i="2"/>
  <c r="Q51" i="2"/>
  <c r="S47" i="2"/>
  <c r="U51" i="2" s="1"/>
  <c r="S59" i="2"/>
  <c r="Q63" i="2"/>
  <c r="Q97" i="2"/>
  <c r="S93" i="2"/>
  <c r="Q107" i="2"/>
  <c r="S103" i="2"/>
  <c r="U107" i="2" s="1"/>
  <c r="Q158" i="2"/>
  <c r="S154" i="2"/>
  <c r="U158" i="2" s="1"/>
  <c r="S177" i="2"/>
  <c r="U181" i="2" s="1"/>
  <c r="U184" i="2" s="1"/>
  <c r="Q181" i="2"/>
  <c r="Q58" i="2"/>
  <c r="S54" i="2"/>
  <c r="U58" i="2" s="1"/>
  <c r="S82" i="2"/>
  <c r="U86" i="2" s="1"/>
  <c r="Q86" i="2"/>
  <c r="Q109" i="2"/>
  <c r="S105" i="2"/>
  <c r="U109" i="2" s="1"/>
  <c r="Q15" i="2"/>
  <c r="S11" i="2"/>
  <c r="U15" i="2" s="1"/>
  <c r="Q23" i="2"/>
  <c r="S19" i="2"/>
  <c r="Q37" i="2"/>
  <c r="S33" i="2"/>
  <c r="Q10" i="2"/>
  <c r="S6" i="2"/>
  <c r="S50" i="2"/>
  <c r="U54" i="2" s="1"/>
  <c r="Q54" i="2"/>
  <c r="S57" i="2"/>
  <c r="Q61" i="2"/>
  <c r="Q81" i="2"/>
  <c r="S77" i="2"/>
  <c r="Q99" i="2"/>
  <c r="S95" i="2"/>
  <c r="Q101" i="2"/>
  <c r="S97" i="2"/>
  <c r="U101" i="2" s="1"/>
  <c r="Q106" i="2"/>
  <c r="S102" i="2"/>
  <c r="U106" i="2" s="1"/>
  <c r="N148" i="2"/>
  <c r="Q130" i="2"/>
  <c r="S126" i="2"/>
  <c r="N184" i="2"/>
  <c r="S174" i="2"/>
  <c r="U178" i="2" s="1"/>
  <c r="Q178" i="2"/>
  <c r="S215" i="2"/>
  <c r="Q219" i="2"/>
  <c r="N229" i="2"/>
  <c r="S147" i="2"/>
  <c r="Q151" i="2"/>
  <c r="R76" i="2"/>
  <c r="O143" i="2"/>
  <c r="O144" i="2" s="1"/>
  <c r="R143" i="2"/>
  <c r="S70" i="2"/>
  <c r="Q74" i="2"/>
  <c r="S14" i="2"/>
  <c r="U18" i="2" s="1"/>
  <c r="Q18" i="2"/>
  <c r="Q210" i="2"/>
  <c r="S201" i="2"/>
  <c r="Q205" i="2"/>
  <c r="S198" i="2"/>
  <c r="Q202" i="2"/>
  <c r="O151" i="2"/>
  <c r="S151" i="2" s="1"/>
  <c r="R151" i="2"/>
  <c r="R152" i="2" s="1"/>
  <c r="O21" i="2"/>
  <c r="R21" i="2"/>
  <c r="U84" i="2"/>
  <c r="N23" i="3"/>
  <c r="N21" i="3"/>
  <c r="J21" i="3"/>
  <c r="L21" i="3"/>
  <c r="K21" i="3"/>
  <c r="Q131" i="2"/>
  <c r="S127" i="2"/>
  <c r="U131" i="2" s="1"/>
  <c r="Q123" i="2"/>
  <c r="S119" i="2"/>
  <c r="U123" i="2" s="1"/>
  <c r="R84" i="2"/>
  <c r="N212" i="2"/>
  <c r="S10" i="2"/>
  <c r="U14" i="2" s="1"/>
  <c r="Q14" i="2"/>
  <c r="Q13" i="3"/>
  <c r="Q15" i="3"/>
  <c r="P7" i="3"/>
  <c r="K8" i="3"/>
  <c r="K6" i="3"/>
  <c r="Q39" i="2"/>
  <c r="S166" i="2"/>
  <c r="Q170" i="2"/>
  <c r="S162" i="2"/>
  <c r="U166" i="2" s="1"/>
  <c r="Q166" i="2"/>
  <c r="O199" i="2"/>
  <c r="R199" i="2"/>
  <c r="Q207" i="2"/>
  <c r="S203" i="2"/>
  <c r="S207" i="2"/>
  <c r="Q211" i="2"/>
  <c r="O219" i="2"/>
  <c r="S219" i="2" s="1"/>
  <c r="R219" i="2"/>
  <c r="O202" i="2"/>
  <c r="O204" i="2" s="1"/>
  <c r="R202" i="2"/>
  <c r="R204" i="2" s="1"/>
  <c r="O217" i="2"/>
  <c r="R217" i="2"/>
  <c r="O209" i="2"/>
  <c r="R209" i="2"/>
  <c r="O205" i="2"/>
  <c r="R205" i="2"/>
  <c r="R208" i="2" s="1"/>
  <c r="O165" i="2"/>
  <c r="O168" i="2" s="1"/>
  <c r="R165" i="2"/>
  <c r="R168" i="2" s="1"/>
  <c r="L8" i="3"/>
  <c r="M8" i="3"/>
  <c r="O8" i="3"/>
  <c r="J8" i="3"/>
  <c r="J14" i="3" s="1"/>
  <c r="K15" i="3" s="1"/>
  <c r="L7" i="3"/>
  <c r="M7" i="3"/>
  <c r="J7" i="3"/>
  <c r="J13" i="3" s="1"/>
  <c r="O7" i="3"/>
  <c r="K7" i="3"/>
  <c r="L9" i="3"/>
  <c r="K9" i="3"/>
  <c r="M9" i="3"/>
  <c r="O9" i="3"/>
  <c r="J9" i="3"/>
  <c r="L6" i="3"/>
  <c r="M6" i="3"/>
  <c r="P161" i="2"/>
  <c r="T161" i="2" s="1"/>
  <c r="N168" i="2"/>
  <c r="P153" i="2"/>
  <c r="T153" i="2" s="1"/>
  <c r="N156" i="2"/>
  <c r="N164" i="2"/>
  <c r="P165" i="2"/>
  <c r="T165" i="2" s="1"/>
  <c r="O6" i="3" s="1"/>
  <c r="O176" i="2"/>
  <c r="O180" i="2"/>
  <c r="P160" i="2"/>
  <c r="O160" i="2"/>
  <c r="P5" i="2"/>
  <c r="T5" i="2" s="1"/>
  <c r="N8" i="2"/>
  <c r="Q120" i="2"/>
  <c r="Q125" i="2"/>
  <c r="O124" i="2"/>
  <c r="O120" i="2"/>
  <c r="Q129" i="2"/>
  <c r="O128" i="2"/>
  <c r="Q133" i="2"/>
  <c r="O132" i="2"/>
  <c r="O140" i="2"/>
  <c r="O88" i="2"/>
  <c r="O104" i="2"/>
  <c r="O96" i="2"/>
  <c r="O92" i="2"/>
  <c r="O84" i="2"/>
  <c r="O16" i="2"/>
  <c r="Q60" i="2"/>
  <c r="O48" i="2"/>
  <c r="O60" i="2"/>
  <c r="O56" i="2"/>
  <c r="O52" i="2"/>
  <c r="O8" i="2"/>
  <c r="O32" i="2"/>
  <c r="O28" i="2"/>
  <c r="O20" i="2"/>
  <c r="O12" i="2"/>
  <c r="U127" i="2" l="1"/>
  <c r="U128" i="2" s="1"/>
  <c r="R24" i="2"/>
  <c r="U132" i="2"/>
  <c r="Y132" i="2" s="1"/>
  <c r="U88" i="2"/>
  <c r="U188" i="2"/>
  <c r="Y188" i="2" s="1"/>
  <c r="U10" i="2"/>
  <c r="U96" i="2"/>
  <c r="Y96" i="2" s="1"/>
  <c r="Q136" i="2"/>
  <c r="Q150" i="2"/>
  <c r="S75" i="2"/>
  <c r="U20" i="2"/>
  <c r="U56" i="2"/>
  <c r="Q36" i="2"/>
  <c r="S99" i="2"/>
  <c r="U103" i="2" s="1"/>
  <c r="U40" i="2"/>
  <c r="Y40" i="2" s="1"/>
  <c r="R220" i="2"/>
  <c r="U108" i="2"/>
  <c r="U121" i="2"/>
  <c r="U124" i="2" s="1"/>
  <c r="S124" i="2"/>
  <c r="U180" i="2"/>
  <c r="Q27" i="2"/>
  <c r="S23" i="2"/>
  <c r="U27" i="2" s="1"/>
  <c r="U36" i="2"/>
  <c r="U60" i="2"/>
  <c r="U52" i="2"/>
  <c r="Q41" i="2"/>
  <c r="S37" i="2"/>
  <c r="U44" i="2" s="1"/>
  <c r="Y44" i="2" s="1"/>
  <c r="O76" i="2"/>
  <c r="O80" i="2"/>
  <c r="Q69" i="2"/>
  <c r="O188" i="2"/>
  <c r="S41" i="2"/>
  <c r="O68" i="2"/>
  <c r="R72" i="2"/>
  <c r="Q16" i="2"/>
  <c r="Q24" i="2"/>
  <c r="Q82" i="2"/>
  <c r="Q84" i="2" s="1"/>
  <c r="O152" i="2"/>
  <c r="Q113" i="2"/>
  <c r="Q70" i="2"/>
  <c r="S160" i="2"/>
  <c r="O44" i="2"/>
  <c r="Q88" i="2"/>
  <c r="Q32" i="2"/>
  <c r="Q44" i="2"/>
  <c r="R136" i="2"/>
  <c r="S68" i="2"/>
  <c r="O24" i="2"/>
  <c r="O64" i="2"/>
  <c r="S62" i="2"/>
  <c r="Q46" i="2"/>
  <c r="R172" i="2"/>
  <c r="R180" i="2"/>
  <c r="R28" i="2"/>
  <c r="O116" i="2"/>
  <c r="R144" i="2"/>
  <c r="Q64" i="2"/>
  <c r="Q26" i="2"/>
  <c r="Q47" i="2"/>
  <c r="R104" i="2"/>
  <c r="R100" i="2"/>
  <c r="Q100" i="2"/>
  <c r="O36" i="2"/>
  <c r="S210" i="2"/>
  <c r="S36" i="2"/>
  <c r="S80" i="2"/>
  <c r="S88" i="2"/>
  <c r="Q108" i="2"/>
  <c r="Q132" i="2"/>
  <c r="O136" i="2"/>
  <c r="S152" i="2"/>
  <c r="Q52" i="2"/>
  <c r="R108" i="2"/>
  <c r="S74" i="2"/>
  <c r="U80" i="2" s="1"/>
  <c r="Y80" i="2" s="1"/>
  <c r="S44" i="2"/>
  <c r="Q92" i="2"/>
  <c r="Q137" i="2"/>
  <c r="R212" i="2"/>
  <c r="Q40" i="2"/>
  <c r="Q78" i="2"/>
  <c r="Q80" i="2" s="1"/>
  <c r="Q184" i="2"/>
  <c r="S84" i="2"/>
  <c r="S32" i="2"/>
  <c r="S56" i="2"/>
  <c r="Q164" i="2"/>
  <c r="R140" i="2"/>
  <c r="R64" i="2"/>
  <c r="S216" i="2"/>
  <c r="Q20" i="2"/>
  <c r="Q128" i="2"/>
  <c r="Q124" i="2"/>
  <c r="S128" i="2"/>
  <c r="Q68" i="2"/>
  <c r="S120" i="2"/>
  <c r="Q56" i="2"/>
  <c r="Q96" i="2"/>
  <c r="N13" i="3"/>
  <c r="L14" i="3"/>
  <c r="S20" i="2"/>
  <c r="S182" i="2"/>
  <c r="Q186" i="2"/>
  <c r="Q188" i="2" s="1"/>
  <c r="Q73" i="2"/>
  <c r="S69" i="2"/>
  <c r="S60" i="2"/>
  <c r="Q180" i="2"/>
  <c r="Q115" i="2"/>
  <c r="Q116" i="2" s="1"/>
  <c r="S111" i="2"/>
  <c r="S184" i="2"/>
  <c r="Q143" i="2"/>
  <c r="S139" i="2"/>
  <c r="U143" i="2" s="1"/>
  <c r="Q174" i="2"/>
  <c r="Q176" i="2" s="1"/>
  <c r="S170" i="2"/>
  <c r="O72" i="2"/>
  <c r="S217" i="2"/>
  <c r="S220" i="2" s="1"/>
  <c r="O220" i="2"/>
  <c r="Q25" i="2"/>
  <c r="S21" i="2"/>
  <c r="U25" i="2" s="1"/>
  <c r="U28" i="2" s="1"/>
  <c r="S104" i="2"/>
  <c r="S176" i="2"/>
  <c r="S12" i="2"/>
  <c r="R156" i="2"/>
  <c r="U153" i="2"/>
  <c r="U156" i="2" s="1"/>
  <c r="S16" i="2"/>
  <c r="S92" i="2"/>
  <c r="O184" i="2"/>
  <c r="U5" i="2"/>
  <c r="R8" i="2"/>
  <c r="S202" i="2"/>
  <c r="Q206" i="2"/>
  <c r="Q208" i="2" s="1"/>
  <c r="S48" i="2"/>
  <c r="Q9" i="2"/>
  <c r="Q12" i="2" s="1"/>
  <c r="S5" i="2"/>
  <c r="U9" i="2" s="1"/>
  <c r="U12" i="2" s="1"/>
  <c r="L22" i="3"/>
  <c r="J22" i="3"/>
  <c r="K22" i="3"/>
  <c r="Q204" i="2"/>
  <c r="S28" i="2"/>
  <c r="Q139" i="2"/>
  <c r="S135" i="2"/>
  <c r="U139" i="2" s="1"/>
  <c r="S205" i="2"/>
  <c r="S208" i="2" s="1"/>
  <c r="O208" i="2"/>
  <c r="Q209" i="2"/>
  <c r="Q212" i="2" s="1"/>
  <c r="S143" i="2"/>
  <c r="U147" i="2" s="1"/>
  <c r="Q147" i="2"/>
  <c r="R200" i="2"/>
  <c r="S96" i="2"/>
  <c r="Q144" i="2"/>
  <c r="Q148" i="2"/>
  <c r="S209" i="2"/>
  <c r="U216" i="2" s="1"/>
  <c r="Q213" i="2"/>
  <c r="Q216" i="2" s="1"/>
  <c r="O212" i="2"/>
  <c r="Q102" i="2"/>
  <c r="Q104" i="2" s="1"/>
  <c r="S98" i="2"/>
  <c r="S52" i="2"/>
  <c r="S153" i="2"/>
  <c r="Q157" i="2"/>
  <c r="Q160" i="2" s="1"/>
  <c r="O100" i="2"/>
  <c r="O112" i="2"/>
  <c r="U200" i="2"/>
  <c r="S180" i="2"/>
  <c r="Q220" i="2"/>
  <c r="Q149" i="2"/>
  <c r="S145" i="2"/>
  <c r="S161" i="2"/>
  <c r="Q165" i="2"/>
  <c r="Q168" i="2" s="1"/>
  <c r="Q111" i="2"/>
  <c r="Q112" i="2" s="1"/>
  <c r="S107" i="2"/>
  <c r="Q75" i="2"/>
  <c r="S71" i="2"/>
  <c r="L13" i="3"/>
  <c r="L12" i="3"/>
  <c r="Q203" i="2"/>
  <c r="S199" i="2"/>
  <c r="S165" i="2"/>
  <c r="Q169" i="2"/>
  <c r="P164" i="2"/>
  <c r="P156" i="2"/>
  <c r="P168" i="2"/>
  <c r="Q172" i="2"/>
  <c r="S156" i="2" l="1"/>
  <c r="U157" i="2"/>
  <c r="U160" i="2" s="1"/>
  <c r="Q152" i="2"/>
  <c r="Q28" i="2"/>
  <c r="S164" i="2"/>
  <c r="U165" i="2"/>
  <c r="U168" i="2" s="1"/>
  <c r="S112" i="2"/>
  <c r="U116" i="2"/>
  <c r="Y116" i="2" s="1"/>
  <c r="S76" i="2"/>
  <c r="S100" i="2"/>
  <c r="U102" i="2"/>
  <c r="U104" i="2" s="1"/>
  <c r="S64" i="2"/>
  <c r="U66" i="2"/>
  <c r="U68" i="2" s="1"/>
  <c r="S108" i="2"/>
  <c r="U111" i="2"/>
  <c r="U112" i="2" s="1"/>
  <c r="S40" i="2"/>
  <c r="S204" i="2"/>
  <c r="U208" i="2"/>
  <c r="S172" i="2"/>
  <c r="U174" i="2"/>
  <c r="U176" i="2" s="1"/>
  <c r="S200" i="2"/>
  <c r="U204" i="2"/>
  <c r="U76" i="2"/>
  <c r="Y76" i="2" s="1"/>
  <c r="N7" i="3"/>
  <c r="S148" i="2"/>
  <c r="U152" i="2"/>
  <c r="Y152" i="2" s="1"/>
  <c r="S144" i="2"/>
  <c r="U148" i="2"/>
  <c r="N8" i="3"/>
  <c r="S140" i="2"/>
  <c r="S136" i="2"/>
  <c r="U140" i="2"/>
  <c r="Q72" i="2"/>
  <c r="S8" i="2"/>
  <c r="N6" i="3"/>
  <c r="S212" i="2"/>
  <c r="N9" i="3"/>
  <c r="U8" i="2"/>
  <c r="P6" i="3"/>
  <c r="N12" i="3" s="1"/>
  <c r="S24" i="2"/>
  <c r="Q48" i="2"/>
  <c r="S72" i="2"/>
  <c r="Q76" i="2"/>
  <c r="Q140" i="2"/>
  <c r="L15" i="3"/>
  <c r="S168" i="2"/>
  <c r="P9" i="3" l="1"/>
  <c r="P8" i="3"/>
  <c r="N14" i="3" s="1"/>
  <c r="U144" i="2"/>
  <c r="N15" i="3" l="1"/>
</calcChain>
</file>

<file path=xl/sharedStrings.xml><?xml version="1.0" encoding="utf-8"?>
<sst xmlns="http://schemas.openxmlformats.org/spreadsheetml/2006/main" count="1063" uniqueCount="93">
  <si>
    <t>Distance officielle</t>
  </si>
  <si>
    <t>Course</t>
  </si>
  <si>
    <t>Triathlon</t>
  </si>
  <si>
    <t>Cross Duathlon</t>
  </si>
  <si>
    <t>Cross Triathlon</t>
  </si>
  <si>
    <t>Duathlon</t>
  </si>
  <si>
    <t>Bike and Run</t>
  </si>
  <si>
    <t>Raid</t>
  </si>
  <si>
    <t>Natation</t>
  </si>
  <si>
    <t>Vélo</t>
  </si>
  <si>
    <t>Course à pied</t>
  </si>
  <si>
    <t>Aquathlon</t>
  </si>
  <si>
    <t>Duathlon des neiges</t>
  </si>
  <si>
    <t>Cyclisme</t>
  </si>
  <si>
    <t>Jeune 6-9</t>
  </si>
  <si>
    <t>Jeune 8-11</t>
  </si>
  <si>
    <t>Jeunes 10-13</t>
  </si>
  <si>
    <t>Jeune 12-19</t>
  </si>
  <si>
    <t>Distance XS</t>
  </si>
  <si>
    <t>Distance S</t>
  </si>
  <si>
    <t>Distance M</t>
  </si>
  <si>
    <t>Distance L</t>
  </si>
  <si>
    <t>Distance XL</t>
  </si>
  <si>
    <t>Swim Run</t>
  </si>
  <si>
    <t>Base de Temps (min / m)</t>
  </si>
  <si>
    <t>Total</t>
  </si>
  <si>
    <t>Natation : ……………1 min 45 au 100 m Vélo route : ………….32 km/h Vélo (cross) : ……….15 km/h Course à pied : ……...4 min:30 au km Ski de fond : …………4 min 30 au km</t>
  </si>
  <si>
    <t>Vitesse</t>
  </si>
  <si>
    <t>Km/h</t>
  </si>
  <si>
    <t>Unité</t>
  </si>
  <si>
    <t>Distance</t>
  </si>
  <si>
    <t>Sec/100m</t>
  </si>
  <si>
    <t>Min/km</t>
  </si>
  <si>
    <t>Limite Haute 25%
(min)</t>
  </si>
  <si>
    <t>Limite Haute 40%
(min)</t>
  </si>
  <si>
    <t>Limite Basse
(min)</t>
  </si>
  <si>
    <t>Triathon des neiges</t>
  </si>
  <si>
    <t>Ski de Fond</t>
  </si>
  <si>
    <t>Distance XXL</t>
  </si>
  <si>
    <t>Type d'épreuve</t>
  </si>
  <si>
    <t>Catégorie d'âge</t>
  </si>
  <si>
    <t>Epreuve Officielle</t>
  </si>
  <si>
    <t>Epreuve</t>
  </si>
  <si>
    <t>Catégorie</t>
  </si>
  <si>
    <t>Discipline</t>
  </si>
  <si>
    <t>Bike_and_Run</t>
  </si>
  <si>
    <t>Cross_Duathlon</t>
  </si>
  <si>
    <t>Cross_Triathlon</t>
  </si>
  <si>
    <t>Duathlon_des_neiges</t>
  </si>
  <si>
    <t>Swim_Run</t>
  </si>
  <si>
    <t>Triathon_des_neiges</t>
  </si>
  <si>
    <t>Temps
Moyen</t>
  </si>
  <si>
    <t>Limite Haute 25%
(m)</t>
  </si>
  <si>
    <t>Limite Haute 40%
(m)</t>
  </si>
  <si>
    <t>Limite Basse
(m)</t>
  </si>
  <si>
    <t>Distance
Moyenne</t>
  </si>
  <si>
    <t>Distance Officielle</t>
  </si>
  <si>
    <t>Tolérance Max +10%</t>
  </si>
  <si>
    <t>Tolérance Min  -10%</t>
  </si>
  <si>
    <t>Marge
 Maxi</t>
  </si>
  <si>
    <t>Marge
 Mini</t>
  </si>
  <si>
    <t>Saisie case en Jaune</t>
  </si>
  <si>
    <t>Temps Moyen</t>
  </si>
  <si>
    <t>Temps Max</t>
  </si>
  <si>
    <t>Temps Min</t>
  </si>
  <si>
    <t>Age Mini</t>
  </si>
  <si>
    <t>Age Maxi</t>
  </si>
  <si>
    <t>Sélectionner le type d'épreuve</t>
  </si>
  <si>
    <t>Saisir les distances
 en mètre</t>
  </si>
  <si>
    <t>Limite Haute 25%
(distance)</t>
  </si>
  <si>
    <t>Limite Basse
(distance)</t>
  </si>
  <si>
    <t>Limite Haute 40% jeunes
(Distance)</t>
  </si>
  <si>
    <t>Mini</t>
  </si>
  <si>
    <t>Maxi</t>
  </si>
  <si>
    <t>Jeune 8 - 11</t>
  </si>
  <si>
    <t>Jeune 12 - 19</t>
  </si>
  <si>
    <t>Jeune 6 - 9</t>
  </si>
  <si>
    <t>Jeune 10 - 13</t>
  </si>
  <si>
    <t>Sur les épreuvesJeune : Natation : …………..1 min 50 au 100 m Vélo : .......... …….25 km/h Course à pied : ……5 min au km</t>
  </si>
  <si>
    <t>Jeune 10-13</t>
  </si>
  <si>
    <r>
      <t xml:space="preserve">Triathlon, Duathlon, Aquathlon, Swimrun 
</t>
    </r>
    <r>
      <rPr>
        <i/>
        <sz val="12"/>
        <rFont val="Calibri"/>
        <family val="2"/>
        <scheme val="minor"/>
      </rPr>
      <t xml:space="preserve">Distances possibles </t>
    </r>
  </si>
  <si>
    <t>Sélectionner la Compétition</t>
  </si>
  <si>
    <r>
      <t xml:space="preserve">Bike&amp;Run &amp; Raid 
</t>
    </r>
    <r>
      <rPr>
        <i/>
        <sz val="12"/>
        <rFont val="Calibri"/>
        <family val="2"/>
        <scheme val="minor"/>
      </rPr>
      <t xml:space="preserve">Temps estimé </t>
    </r>
  </si>
  <si>
    <t>Contrôlez vos distances</t>
  </si>
  <si>
    <t>Age atteint au cours de la saison mini</t>
  </si>
  <si>
    <t>Age atteint au cours de la saison maxi</t>
  </si>
  <si>
    <t>ANNEE mini</t>
  </si>
  <si>
    <t>ANNEE maxi</t>
  </si>
  <si>
    <t>MOIS A PARTIR DUQUEL ON AFFICHE LES CATEGORIES D'AGE DE LA SAISON SUIVANTE :</t>
  </si>
  <si>
    <t>MOIS</t>
  </si>
  <si>
    <t>ANNEE AFFICHEE</t>
  </si>
  <si>
    <t>V 2</t>
  </si>
  <si>
    <t>vérif distance basse épreuve assimilée / distance officielle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</si>
</sst>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00\ _€_-;\-* #,##0.0000\ _€_-;_-* &quot;-&quot;??\ _€_-;_-@_-"/>
    <numFmt numFmtId="165" formatCode="_-* #,##0.00000\ _€_-;\-* #,##0.00000\ _€_-;_-* &quot;-&quot;??\ _€_-;_-@_-"/>
    <numFmt numFmtId="166" formatCode="_-* #,##0.00\ _€_-;\-* #,##0.00\ _€_-;_-* &quot;-&quot;????\ _€_-;_-@_-"/>
    <numFmt numFmtId="167" formatCode="_-* #,##0.0\ _€_-;\-* #,##0.0\ _€_-;_-* &quot;-&quot;??\ _€_-;_-@_-"/>
    <numFmt numFmtId="168" formatCode="_-* #,##0\ _€_-;\-* #,##0\ _€_-;_-* &quot;-&quot;??\ _€_-;_-@_-"/>
    <numFmt numFmtId="169" formatCode="#,##0&quot; m&quot;"/>
    <numFmt numFmtId="170" formatCode="#,##0&quot; min.&quot;"/>
    <numFmt numFmtId="171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2" borderId="0" xfId="0" applyFont="1" applyFill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11" fillId="0" borderId="0" xfId="0" applyFont="1"/>
    <xf numFmtId="0" fontId="12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Border="1" applyAlignment="1">
      <alignment horizontal="center" vertical="top" wrapText="1"/>
    </xf>
    <xf numFmtId="169" fontId="0" fillId="3" borderId="2" xfId="1" applyNumberFormat="1" applyFont="1" applyFill="1" applyBorder="1" applyProtection="1">
      <protection locked="0"/>
    </xf>
    <xf numFmtId="169" fontId="0" fillId="3" borderId="3" xfId="1" applyNumberFormat="1" applyFont="1" applyFill="1" applyBorder="1" applyProtection="1">
      <protection locked="0"/>
    </xf>
    <xf numFmtId="169" fontId="0" fillId="3" borderId="15" xfId="1" applyNumberFormat="1" applyFon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0" fillId="0" borderId="0" xfId="0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top" wrapText="1"/>
    </xf>
    <xf numFmtId="0" fontId="0" fillId="0" borderId="1" xfId="0" applyBorder="1" applyProtection="1"/>
    <xf numFmtId="168" fontId="0" fillId="0" borderId="1" xfId="1" applyNumberFormat="1" applyFont="1" applyBorder="1" applyAlignment="1" applyProtection="1">
      <alignment horizontal="center" vertical="center"/>
    </xf>
    <xf numFmtId="168" fontId="0" fillId="0" borderId="1" xfId="1" applyNumberFormat="1" applyFont="1" applyBorder="1" applyAlignment="1" applyProtection="1">
      <alignment horizontal="center"/>
    </xf>
    <xf numFmtId="168" fontId="6" fillId="0" borderId="1" xfId="1" applyNumberFormat="1" applyFont="1" applyBorder="1" applyAlignment="1" applyProtection="1">
      <alignment horizontal="left"/>
    </xf>
    <xf numFmtId="164" fontId="0" fillId="0" borderId="1" xfId="1" applyNumberFormat="1" applyFont="1" applyBorder="1" applyAlignment="1" applyProtection="1">
      <alignment horizontal="center"/>
    </xf>
    <xf numFmtId="43" fontId="0" fillId="0" borderId="1" xfId="0" applyNumberFormat="1" applyBorder="1" applyAlignment="1" applyProtection="1">
      <alignment horizontal="center"/>
    </xf>
    <xf numFmtId="166" fontId="3" fillId="0" borderId="1" xfId="0" applyNumberFormat="1" applyFont="1" applyBorder="1" applyAlignment="1" applyProtection="1">
      <alignment horizontal="center"/>
    </xf>
    <xf numFmtId="168" fontId="0" fillId="0" borderId="1" xfId="1" applyNumberFormat="1" applyFont="1" applyBorder="1" applyProtection="1"/>
    <xf numFmtId="168" fontId="2" fillId="0" borderId="5" xfId="1" applyNumberFormat="1" applyFont="1" applyBorder="1" applyProtection="1"/>
    <xf numFmtId="0" fontId="0" fillId="0" borderId="3" xfId="0" applyBorder="1" applyProtection="1"/>
    <xf numFmtId="0" fontId="0" fillId="2" borderId="1" xfId="0" applyFill="1" applyBorder="1" applyProtection="1"/>
    <xf numFmtId="168" fontId="0" fillId="2" borderId="1" xfId="1" applyNumberFormat="1" applyFont="1" applyFill="1" applyBorder="1" applyAlignment="1" applyProtection="1">
      <alignment horizontal="center" vertical="center"/>
    </xf>
    <xf numFmtId="168" fontId="0" fillId="2" borderId="1" xfId="1" applyNumberFormat="1" applyFont="1" applyFill="1" applyBorder="1" applyAlignment="1" applyProtection="1">
      <alignment horizontal="center"/>
    </xf>
    <xf numFmtId="168" fontId="6" fillId="2" borderId="1" xfId="1" applyNumberFormat="1" applyFont="1" applyFill="1" applyBorder="1" applyAlignment="1" applyProtection="1">
      <alignment horizontal="center"/>
    </xf>
    <xf numFmtId="164" fontId="0" fillId="2" borderId="1" xfId="1" applyNumberFormat="1" applyFont="1" applyFill="1" applyBorder="1" applyAlignment="1" applyProtection="1">
      <alignment horizontal="center"/>
    </xf>
    <xf numFmtId="43" fontId="0" fillId="2" borderId="1" xfId="1" applyNumberFormat="1" applyFont="1" applyFill="1" applyBorder="1" applyAlignment="1" applyProtection="1">
      <alignment horizontal="center"/>
    </xf>
    <xf numFmtId="43" fontId="3" fillId="2" borderId="1" xfId="1" applyNumberFormat="1" applyFont="1" applyFill="1" applyBorder="1" applyAlignment="1" applyProtection="1">
      <alignment horizontal="center"/>
    </xf>
    <xf numFmtId="166" fontId="0" fillId="2" borderId="1" xfId="1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8" fontId="0" fillId="2" borderId="1" xfId="0" applyNumberFormat="1" applyFill="1" applyBorder="1" applyProtection="1"/>
    <xf numFmtId="168" fontId="0" fillId="0" borderId="1" xfId="0" applyNumberFormat="1" applyBorder="1" applyProtection="1"/>
    <xf numFmtId="168" fontId="0" fillId="2" borderId="5" xfId="0" applyNumberFormat="1" applyFill="1" applyBorder="1" applyProtection="1"/>
    <xf numFmtId="168" fontId="0" fillId="0" borderId="5" xfId="1" applyNumberFormat="1" applyFont="1" applyBorder="1" applyProtection="1"/>
    <xf numFmtId="167" fontId="0" fillId="0" borderId="1" xfId="1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3" xfId="0" applyFill="1" applyBorder="1" applyProtection="1"/>
    <xf numFmtId="0" fontId="0" fillId="2" borderId="2" xfId="0" applyFill="1" applyBorder="1" applyProtection="1"/>
    <xf numFmtId="168" fontId="0" fillId="2" borderId="2" xfId="1" applyNumberFormat="1" applyFont="1" applyFill="1" applyBorder="1" applyAlignment="1" applyProtection="1">
      <alignment horizontal="center" vertical="center"/>
    </xf>
    <xf numFmtId="168" fontId="0" fillId="2" borderId="2" xfId="1" applyNumberFormat="1" applyFont="1" applyFill="1" applyBorder="1" applyAlignment="1" applyProtection="1">
      <alignment horizontal="center"/>
    </xf>
    <xf numFmtId="164" fontId="0" fillId="0" borderId="2" xfId="1" applyNumberFormat="1" applyFont="1" applyBorder="1" applyAlignment="1" applyProtection="1">
      <alignment horizontal="center"/>
    </xf>
    <xf numFmtId="168" fontId="0" fillId="2" borderId="2" xfId="0" applyNumberFormat="1" applyFill="1" applyBorder="1" applyProtection="1"/>
    <xf numFmtId="168" fontId="0" fillId="0" borderId="2" xfId="0" applyNumberFormat="1" applyBorder="1" applyProtection="1"/>
    <xf numFmtId="168" fontId="0" fillId="2" borderId="8" xfId="0" applyNumberFormat="1" applyFill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9" xfId="0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top" wrapText="1"/>
    </xf>
    <xf numFmtId="0" fontId="0" fillId="0" borderId="2" xfId="0" applyBorder="1" applyProtection="1"/>
    <xf numFmtId="0" fontId="0" fillId="0" borderId="9" xfId="0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168" fontId="0" fillId="0" borderId="9" xfId="1" applyNumberFormat="1" applyFont="1" applyBorder="1" applyProtection="1"/>
    <xf numFmtId="0" fontId="0" fillId="0" borderId="4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168" fontId="0" fillId="0" borderId="0" xfId="1" applyNumberFormat="1" applyFont="1" applyBorder="1" applyProtection="1"/>
    <xf numFmtId="0" fontId="2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0" fillId="0" borderId="12" xfId="0" applyBorder="1" applyProtection="1"/>
    <xf numFmtId="0" fontId="0" fillId="0" borderId="13" xfId="0" applyBorder="1" applyProtection="1"/>
    <xf numFmtId="0" fontId="0" fillId="0" borderId="13" xfId="0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 vertical="top" wrapText="1"/>
    </xf>
    <xf numFmtId="0" fontId="0" fillId="0" borderId="15" xfId="0" applyBorder="1" applyProtection="1"/>
    <xf numFmtId="0" fontId="0" fillId="0" borderId="13" xfId="0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/>
    </xf>
    <xf numFmtId="168" fontId="0" fillId="0" borderId="15" xfId="1" applyNumberFormat="1" applyFont="1" applyBorder="1" applyAlignment="1" applyProtection="1">
      <alignment horizontal="center"/>
    </xf>
    <xf numFmtId="167" fontId="0" fillId="0" borderId="15" xfId="1" applyNumberFormat="1" applyFont="1" applyBorder="1" applyAlignment="1" applyProtection="1">
      <alignment horizontal="center"/>
    </xf>
    <xf numFmtId="168" fontId="6" fillId="0" borderId="15" xfId="1" applyNumberFormat="1" applyFont="1" applyBorder="1" applyAlignment="1" applyProtection="1">
      <alignment horizontal="left"/>
    </xf>
    <xf numFmtId="164" fontId="0" fillId="0" borderId="15" xfId="1" applyNumberFormat="1" applyFont="1" applyBorder="1" applyAlignment="1" applyProtection="1">
      <alignment horizontal="center"/>
    </xf>
    <xf numFmtId="43" fontId="0" fillId="0" borderId="15" xfId="0" applyNumberFormat="1" applyBorder="1" applyAlignment="1" applyProtection="1">
      <alignment horizontal="center"/>
    </xf>
    <xf numFmtId="168" fontId="0" fillId="0" borderId="15" xfId="1" applyNumberFormat="1" applyFont="1" applyBorder="1" applyProtection="1"/>
    <xf numFmtId="0" fontId="0" fillId="2" borderId="3" xfId="0" applyFill="1" applyBorder="1" applyProtection="1"/>
    <xf numFmtId="0" fontId="0" fillId="2" borderId="0" xfId="0" applyFill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0" fillId="4" borderId="0" xfId="0" applyFill="1" applyProtection="1"/>
    <xf numFmtId="0" fontId="4" fillId="4" borderId="0" xfId="0" applyFont="1" applyFill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</xf>
    <xf numFmtId="0" fontId="0" fillId="2" borderId="16" xfId="0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center" vertical="top" wrapText="1"/>
    </xf>
    <xf numFmtId="0" fontId="0" fillId="2" borderId="5" xfId="0" applyFont="1" applyFill="1" applyBorder="1" applyAlignment="1" applyProtection="1">
      <alignment horizontal="center" vertical="top" wrapText="1"/>
    </xf>
    <xf numFmtId="0" fontId="0" fillId="2" borderId="16" xfId="0" applyFont="1" applyFill="1" applyBorder="1" applyAlignment="1" applyProtection="1">
      <alignment horizontal="center" vertical="top" wrapText="1"/>
    </xf>
    <xf numFmtId="0" fontId="0" fillId="2" borderId="7" xfId="0" applyFont="1" applyFill="1" applyBorder="1" applyAlignment="1" applyProtection="1">
      <alignment horizontal="center" vertical="top" wrapText="1"/>
    </xf>
    <xf numFmtId="168" fontId="5" fillId="0" borderId="8" xfId="1" applyNumberFormat="1" applyFont="1" applyBorder="1" applyProtection="1"/>
    <xf numFmtId="169" fontId="5" fillId="0" borderId="8" xfId="1" applyNumberFormat="1" applyFont="1" applyBorder="1" applyProtection="1"/>
    <xf numFmtId="169" fontId="5" fillId="0" borderId="17" xfId="1" applyNumberFormat="1" applyFont="1" applyBorder="1" applyProtection="1"/>
    <xf numFmtId="169" fontId="5" fillId="0" borderId="10" xfId="1" applyNumberFormat="1" applyFont="1" applyBorder="1" applyProtection="1"/>
    <xf numFmtId="169" fontId="5" fillId="5" borderId="17" xfId="1" applyNumberFormat="1" applyFont="1" applyFill="1" applyBorder="1" applyProtection="1"/>
    <xf numFmtId="169" fontId="15" fillId="5" borderId="10" xfId="1" applyNumberFormat="1" applyFont="1" applyFill="1" applyBorder="1" applyProtection="1"/>
    <xf numFmtId="168" fontId="5" fillId="0" borderId="4" xfId="1" applyNumberFormat="1" applyFont="1" applyBorder="1" applyProtection="1"/>
    <xf numFmtId="169" fontId="5" fillId="0" borderId="4" xfId="1" applyNumberFormat="1" applyFont="1" applyBorder="1" applyProtection="1"/>
    <xf numFmtId="169" fontId="5" fillId="0" borderId="18" xfId="1" applyNumberFormat="1" applyFont="1" applyBorder="1" applyProtection="1"/>
    <xf numFmtId="169" fontId="5" fillId="0" borderId="11" xfId="1" applyNumberFormat="1" applyFont="1" applyBorder="1" applyProtection="1"/>
    <xf numFmtId="169" fontId="5" fillId="5" borderId="18" xfId="1" applyNumberFormat="1" applyFont="1" applyFill="1" applyBorder="1" applyProtection="1"/>
    <xf numFmtId="169" fontId="15" fillId="5" borderId="11" xfId="1" applyNumberFormat="1" applyFont="1" applyFill="1" applyBorder="1" applyProtection="1"/>
    <xf numFmtId="169" fontId="5" fillId="0" borderId="12" xfId="1" applyNumberFormat="1" applyFont="1" applyBorder="1" applyProtection="1"/>
    <xf numFmtId="169" fontId="5" fillId="0" borderId="19" xfId="1" applyNumberFormat="1" applyFont="1" applyBorder="1" applyProtection="1"/>
    <xf numFmtId="169" fontId="5" fillId="0" borderId="14" xfId="1" applyNumberFormat="1" applyFont="1" applyBorder="1" applyProtection="1"/>
    <xf numFmtId="169" fontId="5" fillId="5" borderId="19" xfId="1" applyNumberFormat="1" applyFont="1" applyFill="1" applyBorder="1" applyProtection="1"/>
    <xf numFmtId="169" fontId="15" fillId="5" borderId="14" xfId="1" applyNumberFormat="1" applyFont="1" applyFill="1" applyBorder="1" applyProtection="1"/>
    <xf numFmtId="168" fontId="0" fillId="5" borderId="5" xfId="1" applyNumberFormat="1" applyFont="1" applyFill="1" applyBorder="1" applyProtection="1"/>
    <xf numFmtId="169" fontId="0" fillId="5" borderId="13" xfId="1" applyNumberFormat="1" applyFont="1" applyFill="1" applyBorder="1" applyProtection="1"/>
    <xf numFmtId="169" fontId="0" fillId="5" borderId="19" xfId="1" applyNumberFormat="1" applyFont="1" applyFill="1" applyBorder="1" applyProtection="1"/>
    <xf numFmtId="169" fontId="0" fillId="5" borderId="14" xfId="1" applyNumberFormat="1" applyFont="1" applyFill="1" applyBorder="1" applyProtection="1"/>
    <xf numFmtId="169" fontId="0" fillId="5" borderId="12" xfId="1" applyNumberFormat="1" applyFont="1" applyFill="1" applyBorder="1" applyProtection="1"/>
    <xf numFmtId="169" fontId="0" fillId="2" borderId="19" xfId="1" applyNumberFormat="1" applyFont="1" applyFill="1" applyBorder="1" applyProtection="1"/>
    <xf numFmtId="0" fontId="13" fillId="2" borderId="5" xfId="0" applyFont="1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center" vertical="center" wrapText="1"/>
    </xf>
    <xf numFmtId="0" fontId="0" fillId="2" borderId="8" xfId="0" applyFill="1" applyBorder="1" applyProtection="1"/>
    <xf numFmtId="0" fontId="0" fillId="2" borderId="10" xfId="0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Protection="1"/>
    <xf numFmtId="0" fontId="0" fillId="2" borderId="11" xfId="0" applyFill="1" applyBorder="1" applyProtection="1"/>
    <xf numFmtId="0" fontId="5" fillId="0" borderId="1" xfId="1" applyNumberFormat="1" applyFont="1" applyBorder="1" applyAlignment="1" applyProtection="1">
      <alignment horizontal="center"/>
    </xf>
    <xf numFmtId="0" fontId="0" fillId="2" borderId="12" xfId="0" applyFill="1" applyBorder="1" applyProtection="1"/>
    <xf numFmtId="0" fontId="0" fillId="2" borderId="14" xfId="0" applyFill="1" applyBorder="1" applyProtection="1"/>
    <xf numFmtId="168" fontId="5" fillId="0" borderId="15" xfId="1" applyNumberFormat="1" applyFont="1" applyBorder="1" applyProtection="1"/>
    <xf numFmtId="169" fontId="0" fillId="5" borderId="1" xfId="1" applyNumberFormat="1" applyFont="1" applyFill="1" applyBorder="1" applyProtection="1"/>
    <xf numFmtId="0" fontId="13" fillId="5" borderId="13" xfId="0" applyFont="1" applyFill="1" applyBorder="1" applyAlignment="1" applyProtection="1">
      <alignment vertical="center" wrapText="1"/>
    </xf>
    <xf numFmtId="170" fontId="5" fillId="0" borderId="6" xfId="1" applyNumberFormat="1" applyFont="1" applyBorder="1" applyAlignment="1" applyProtection="1">
      <alignment horizontal="center"/>
    </xf>
    <xf numFmtId="170" fontId="5" fillId="0" borderId="16" xfId="1" applyNumberFormat="1" applyFont="1" applyBorder="1" applyAlignment="1" applyProtection="1">
      <alignment horizontal="center"/>
    </xf>
    <xf numFmtId="170" fontId="5" fillId="0" borderId="7" xfId="1" applyNumberFormat="1" applyFont="1" applyBorder="1" applyAlignment="1" applyProtection="1">
      <alignment horizontal="center"/>
    </xf>
    <xf numFmtId="171" fontId="5" fillId="0" borderId="6" xfId="1" applyNumberFormat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6" fillId="0" borderId="0" xfId="0" applyFont="1" applyAlignment="1">
      <alignment vertical="center" wrapText="1"/>
    </xf>
    <xf numFmtId="168" fontId="0" fillId="0" borderId="0" xfId="0" applyNumberFormat="1" applyProtection="1"/>
    <xf numFmtId="168" fontId="0" fillId="3" borderId="5" xfId="1" applyNumberFormat="1" applyFont="1" applyFill="1" applyBorder="1" applyProtection="1"/>
    <xf numFmtId="0" fontId="10" fillId="3" borderId="0" xfId="0" applyFont="1" applyFill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left" vertical="center" wrapText="1"/>
    </xf>
    <xf numFmtId="0" fontId="13" fillId="2" borderId="6" xfId="0" applyFont="1" applyFill="1" applyBorder="1" applyAlignment="1" applyProtection="1">
      <alignment horizontal="left" vertical="center" wrapText="1"/>
    </xf>
    <xf numFmtId="0" fontId="13" fillId="2" borderId="7" xfId="0" applyFont="1" applyFill="1" applyBorder="1" applyAlignment="1" applyProtection="1">
      <alignment horizontal="left" vertical="center" wrapText="1"/>
    </xf>
    <xf numFmtId="0" fontId="13" fillId="2" borderId="13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9" fillId="5" borderId="7" xfId="0" applyFont="1" applyFill="1" applyBorder="1" applyAlignment="1" applyProtection="1">
      <alignment horizontal="center"/>
    </xf>
  </cellXfs>
  <cellStyles count="2">
    <cellStyle name="Milliers" xfId="1" builtinId="3"/>
    <cellStyle name="Normal" xfId="0" builtinId="0"/>
  </cellStyles>
  <dxfs count="12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104775</xdr:colOff>
      <xdr:row>0</xdr:row>
      <xdr:rowOff>57150</xdr:rowOff>
    </xdr:from>
    <xdr:to>
      <xdr:col>10</xdr:col>
      <xdr:colOff>161925</xdr:colOff>
      <xdr:row>0</xdr:row>
      <xdr:rowOff>323850</xdr:rowOff>
    </xdr:to>
    <xdr:sp macro="[0]!Macro10" textlink="">
      <xdr:nvSpPr>
        <xdr:cNvPr id="3" name="Rectangle à coins arrondis 2"/>
        <xdr:cNvSpPr/>
      </xdr:nvSpPr>
      <xdr:spPr>
        <a:xfrm>
          <a:off x="3181350" y="57150"/>
          <a:ext cx="923925" cy="266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Reset</a:t>
          </a:r>
        </a:p>
        <a:p>
          <a:pPr algn="ctr"/>
          <a:endParaRPr lang="fr-FR" sz="1100"/>
        </a:p>
      </xdr:txBody>
    </xdr:sp>
    <xdr:clientData/>
  </xdr:twoCellAnchor>
  <xdr:twoCellAnchor>
    <xdr:from>
      <xdr:col>0</xdr:col>
      <xdr:colOff>15875</xdr:colOff>
      <xdr:row>4</xdr:row>
      <xdr:rowOff>714374</xdr:rowOff>
    </xdr:from>
    <xdr:to>
      <xdr:col>1</xdr:col>
      <xdr:colOff>309563</xdr:colOff>
      <xdr:row>6</xdr:row>
      <xdr:rowOff>47624</xdr:rowOff>
    </xdr:to>
    <xdr:sp macro="" textlink="">
      <xdr:nvSpPr>
        <xdr:cNvPr id="4" name="Pentagone 3"/>
        <xdr:cNvSpPr/>
      </xdr:nvSpPr>
      <xdr:spPr>
        <a:xfrm>
          <a:off x="15875" y="2000249"/>
          <a:ext cx="817563" cy="2857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Sélection</a:t>
          </a:r>
        </a:p>
      </xdr:txBody>
    </xdr:sp>
    <xdr:clientData/>
  </xdr:twoCellAnchor>
  <xdr:twoCellAnchor>
    <xdr:from>
      <xdr:col>0</xdr:col>
      <xdr:colOff>0</xdr:colOff>
      <xdr:row>19</xdr:row>
      <xdr:rowOff>334962</xdr:rowOff>
    </xdr:from>
    <xdr:to>
      <xdr:col>1</xdr:col>
      <xdr:colOff>293688</xdr:colOff>
      <xdr:row>21</xdr:row>
      <xdr:rowOff>41274</xdr:rowOff>
    </xdr:to>
    <xdr:sp macro="" textlink="">
      <xdr:nvSpPr>
        <xdr:cNvPr id="8" name="Pentagone 7"/>
        <xdr:cNvSpPr/>
      </xdr:nvSpPr>
      <xdr:spPr>
        <a:xfrm>
          <a:off x="0" y="5764212"/>
          <a:ext cx="817563" cy="285750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Sélection</a:t>
          </a:r>
        </a:p>
      </xdr:txBody>
    </xdr:sp>
    <xdr:clientData/>
  </xdr:twoCellAnchor>
  <xdr:twoCellAnchor>
    <xdr:from>
      <xdr:col>9</xdr:col>
      <xdr:colOff>80963</xdr:colOff>
      <xdr:row>14</xdr:row>
      <xdr:rowOff>132823</xdr:rowOff>
    </xdr:from>
    <xdr:to>
      <xdr:col>10</xdr:col>
      <xdr:colOff>57151</xdr:colOff>
      <xdr:row>16</xdr:row>
      <xdr:rowOff>66359</xdr:rowOff>
    </xdr:to>
    <xdr:sp macro="" textlink="">
      <xdr:nvSpPr>
        <xdr:cNvPr id="9" name="Pentagone 8"/>
        <xdr:cNvSpPr/>
      </xdr:nvSpPr>
      <xdr:spPr>
        <a:xfrm rot="19977234">
          <a:off x="3467630" y="3646490"/>
          <a:ext cx="899054" cy="212936"/>
        </a:xfrm>
        <a:prstGeom prst="homePlat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Saisie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Z243"/>
  <sheetViews>
    <sheetView topLeftCell="E4" zoomScale="80" zoomScaleNormal="80" workbookViewId="0">
      <pane ySplit="996" topLeftCell="A19" activePane="bottomLeft"/>
      <selection activeCell="E4" sqref="A1:XFD1048576"/>
      <selection pane="bottomLeft" activeCell="F59" sqref="F59"/>
    </sheetView>
  </sheetViews>
  <sheetFormatPr baseColWidth="10" defaultColWidth="11.5546875" defaultRowHeight="14.4" x14ac:dyDescent="0.3"/>
  <cols>
    <col min="1" max="1" width="5.5546875" style="33" bestFit="1" customWidth="1"/>
    <col min="2" max="2" width="7.33203125" style="33" bestFit="1" customWidth="1"/>
    <col min="3" max="3" width="7.109375" style="33" bestFit="1" customWidth="1"/>
    <col min="4" max="4" width="6.5546875" style="34" bestFit="1" customWidth="1"/>
    <col min="5" max="5" width="18.109375" style="33" customWidth="1"/>
    <col min="6" max="6" width="16" style="33" customWidth="1"/>
    <col min="7" max="7" width="14.5546875" style="33" bestFit="1" customWidth="1"/>
    <col min="8" max="8" width="11.33203125" style="36" bestFit="1" customWidth="1"/>
    <col min="9" max="10" width="11.33203125" style="34" bestFit="1" customWidth="1"/>
    <col min="11" max="11" width="7.44140625" style="34" bestFit="1" customWidth="1"/>
    <col min="12" max="12" width="11.33203125" style="37" bestFit="1" customWidth="1"/>
    <col min="13" max="13" width="14.5546875" style="34" bestFit="1" customWidth="1"/>
    <col min="14" max="14" width="11.6640625" style="34" bestFit="1" customWidth="1"/>
    <col min="15" max="16" width="13" style="34" customWidth="1"/>
    <col min="17" max="17" width="13.44140625" style="34" customWidth="1"/>
    <col min="18" max="18" width="13" style="33" bestFit="1" customWidth="1"/>
    <col min="19" max="19" width="13" style="33" customWidth="1"/>
    <col min="20" max="20" width="15.33203125" style="33" customWidth="1"/>
    <col min="21" max="21" width="11.88671875" style="33" bestFit="1" customWidth="1"/>
    <col min="22" max="23" width="11.5546875" style="33"/>
    <col min="24" max="24" width="4.77734375" style="33" customWidth="1"/>
    <col min="25" max="25" width="44.88671875" style="33" bestFit="1" customWidth="1"/>
    <col min="26" max="16384" width="11.5546875" style="33"/>
  </cols>
  <sheetData>
    <row r="1" spans="1:25" x14ac:dyDescent="0.3">
      <c r="E1" s="33" t="s">
        <v>0</v>
      </c>
      <c r="F1" s="35" t="s">
        <v>78</v>
      </c>
      <c r="I1" s="33"/>
    </row>
    <row r="2" spans="1:25" x14ac:dyDescent="0.3">
      <c r="F2" s="33" t="s">
        <v>26</v>
      </c>
      <c r="I2" s="33"/>
      <c r="O2" s="38">
        <f>K7/1000</f>
        <v>5.0000000000000001E-3</v>
      </c>
    </row>
    <row r="3" spans="1:25" x14ac:dyDescent="0.3">
      <c r="I3" s="33"/>
    </row>
    <row r="4" spans="1:25" s="39" customFormat="1" ht="44.25" customHeight="1" x14ac:dyDescent="0.3">
      <c r="A4" s="39" t="s">
        <v>42</v>
      </c>
      <c r="B4" s="40" t="s">
        <v>43</v>
      </c>
      <c r="C4" s="40" t="s">
        <v>44</v>
      </c>
      <c r="D4" s="41"/>
      <c r="E4" s="40" t="s">
        <v>1</v>
      </c>
      <c r="F4" s="40"/>
      <c r="G4" s="40" t="s">
        <v>44</v>
      </c>
      <c r="H4" s="41" t="s">
        <v>30</v>
      </c>
      <c r="I4" s="41" t="s">
        <v>59</v>
      </c>
      <c r="J4" s="41" t="s">
        <v>60</v>
      </c>
      <c r="K4" s="41" t="s">
        <v>27</v>
      </c>
      <c r="L4" s="42" t="s">
        <v>29</v>
      </c>
      <c r="M4" s="41" t="s">
        <v>24</v>
      </c>
      <c r="N4" s="41" t="s">
        <v>51</v>
      </c>
      <c r="O4" s="43" t="s">
        <v>33</v>
      </c>
      <c r="P4" s="41" t="s">
        <v>34</v>
      </c>
      <c r="Q4" s="43" t="s">
        <v>35</v>
      </c>
      <c r="R4" s="41" t="s">
        <v>55</v>
      </c>
      <c r="S4" s="41" t="s">
        <v>52</v>
      </c>
      <c r="T4" s="41" t="s">
        <v>53</v>
      </c>
      <c r="U4" s="43" t="s">
        <v>54</v>
      </c>
      <c r="V4" s="41" t="s">
        <v>65</v>
      </c>
      <c r="W4" s="41" t="s">
        <v>66</v>
      </c>
      <c r="Y4" s="41" t="s">
        <v>92</v>
      </c>
    </row>
    <row r="5" spans="1:25" x14ac:dyDescent="0.3">
      <c r="A5" s="33">
        <v>10</v>
      </c>
      <c r="B5" s="33">
        <v>10</v>
      </c>
      <c r="C5" s="33">
        <v>1</v>
      </c>
      <c r="D5" s="34" t="str">
        <f>CONCATENATE(A5,B5,C5)</f>
        <v>10101</v>
      </c>
      <c r="E5" s="33" t="s">
        <v>2</v>
      </c>
      <c r="F5" s="44" t="s">
        <v>14</v>
      </c>
      <c r="G5" s="45" t="s">
        <v>8</v>
      </c>
      <c r="H5" s="46">
        <v>50</v>
      </c>
      <c r="I5" s="47">
        <f>H5*1.1</f>
        <v>55.000000000000007</v>
      </c>
      <c r="J5" s="47">
        <f>H5*0.9</f>
        <v>45</v>
      </c>
      <c r="K5" s="47">
        <f>60+50</f>
        <v>110</v>
      </c>
      <c r="L5" s="48" t="s">
        <v>31</v>
      </c>
      <c r="M5" s="49">
        <f>IF(L5="Sec/100m",((K5)/60/100),(IF(L5="Km/h",60/K5/1000,(IF(L5="Min/km",K5/1000,"")))))</f>
        <v>1.8333333333333333E-2</v>
      </c>
      <c r="N5" s="50">
        <f>H5*M5</f>
        <v>0.91666666666666663</v>
      </c>
      <c r="O5" s="50">
        <f>N5*1.25</f>
        <v>1.1458333333333333</v>
      </c>
      <c r="P5" s="51">
        <f>N5*1.4</f>
        <v>1.2833333333333332</v>
      </c>
      <c r="Q5" s="50">
        <f>O5*0.8</f>
        <v>0.91666666666666663</v>
      </c>
      <c r="R5" s="52">
        <f>(N5/M5)</f>
        <v>50</v>
      </c>
      <c r="S5" s="52">
        <f>O5/M5</f>
        <v>62.499999999999993</v>
      </c>
      <c r="T5" s="52">
        <f>P5/M5</f>
        <v>70</v>
      </c>
      <c r="U5" s="53">
        <f>+R5/2</f>
        <v>25</v>
      </c>
      <c r="V5" s="45">
        <f ca="1">VLOOKUP(F5,AGE!F:J,4,FALSE)</f>
        <v>2013</v>
      </c>
      <c r="W5" s="45">
        <f ca="1">VLOOKUP(F5,AGE!F:J,5,FALSE)</f>
        <v>2010</v>
      </c>
      <c r="Y5" s="33">
        <f t="shared" ref="Y5:Y68" si="0">IF(U5&gt;R5,"Attention dist basse assimilée &gt; distance officielle",)</f>
        <v>0</v>
      </c>
    </row>
    <row r="6" spans="1:25" x14ac:dyDescent="0.3">
      <c r="A6" s="33">
        <v>10</v>
      </c>
      <c r="B6" s="33">
        <v>10</v>
      </c>
      <c r="C6" s="33">
        <v>2</v>
      </c>
      <c r="D6" s="34" t="str">
        <f t="shared" ref="D6:D69" si="1">CONCATENATE(A6,B6,C6)</f>
        <v>10102</v>
      </c>
      <c r="E6" s="33" t="s">
        <v>2</v>
      </c>
      <c r="F6" s="44" t="s">
        <v>14</v>
      </c>
      <c r="G6" s="54" t="s">
        <v>13</v>
      </c>
      <c r="H6" s="46">
        <v>1000</v>
      </c>
      <c r="I6" s="47">
        <f t="shared" ref="I6:I7" si="2">H6*1.1</f>
        <v>1100</v>
      </c>
      <c r="J6" s="47">
        <f t="shared" ref="J6:J7" si="3">H6*0.9</f>
        <v>900</v>
      </c>
      <c r="K6" s="47">
        <v>25</v>
      </c>
      <c r="L6" s="48" t="s">
        <v>28</v>
      </c>
      <c r="M6" s="49">
        <f t="shared" ref="M6:M7" si="4">IF(L6="Sec/100m",((K6)/60/100),(IF(L6="Km/h",60/K6/1000,(IF(L6="Min/km",K6/1000,"")))))</f>
        <v>2.3999999999999998E-3</v>
      </c>
      <c r="N6" s="50">
        <f t="shared" ref="N6:N7" si="5">H6*M6</f>
        <v>2.4</v>
      </c>
      <c r="O6" s="50">
        <f t="shared" ref="O6:O7" si="6">N6*1.25</f>
        <v>3</v>
      </c>
      <c r="P6" s="51">
        <f t="shared" ref="P6:P7" si="7">N6*1.4</f>
        <v>3.36</v>
      </c>
      <c r="Q6" s="50">
        <f>O6*0.8</f>
        <v>2.4000000000000004</v>
      </c>
      <c r="R6" s="52">
        <f t="shared" ref="R6:R7" si="8">N6/M6</f>
        <v>1000</v>
      </c>
      <c r="S6" s="52">
        <f t="shared" ref="S6:S7" si="9">O6/M6</f>
        <v>1250</v>
      </c>
      <c r="T6" s="52">
        <f t="shared" ref="T6:T7" si="10">P6/M6</f>
        <v>1400</v>
      </c>
      <c r="U6" s="53">
        <f>+R6/2</f>
        <v>500</v>
      </c>
      <c r="V6" s="45">
        <f ca="1">VLOOKUP(F6,AGE!F:J,4,FALSE)</f>
        <v>2013</v>
      </c>
      <c r="W6" s="45">
        <f ca="1">VLOOKUP(F6,AGE!F:J,5,FALSE)</f>
        <v>2010</v>
      </c>
      <c r="Y6" s="33">
        <f t="shared" si="0"/>
        <v>0</v>
      </c>
    </row>
    <row r="7" spans="1:25" x14ac:dyDescent="0.3">
      <c r="A7" s="33">
        <v>10</v>
      </c>
      <c r="B7" s="33">
        <v>10</v>
      </c>
      <c r="C7" s="33">
        <v>3</v>
      </c>
      <c r="D7" s="34" t="str">
        <f t="shared" si="1"/>
        <v>10103</v>
      </c>
      <c r="E7" s="33" t="s">
        <v>2</v>
      </c>
      <c r="F7" s="44" t="s">
        <v>14</v>
      </c>
      <c r="G7" s="45" t="s">
        <v>10</v>
      </c>
      <c r="H7" s="46">
        <v>500</v>
      </c>
      <c r="I7" s="47">
        <f t="shared" si="2"/>
        <v>550</v>
      </c>
      <c r="J7" s="47">
        <f t="shared" si="3"/>
        <v>450</v>
      </c>
      <c r="K7" s="47">
        <v>5</v>
      </c>
      <c r="L7" s="48" t="s">
        <v>32</v>
      </c>
      <c r="M7" s="49">
        <f t="shared" si="4"/>
        <v>5.0000000000000001E-3</v>
      </c>
      <c r="N7" s="50">
        <f t="shared" si="5"/>
        <v>2.5</v>
      </c>
      <c r="O7" s="50">
        <f t="shared" si="6"/>
        <v>3.125</v>
      </c>
      <c r="P7" s="51">
        <f t="shared" si="7"/>
        <v>3.5</v>
      </c>
      <c r="Q7" s="50">
        <f>O7*0.8</f>
        <v>2.5</v>
      </c>
      <c r="R7" s="52">
        <f t="shared" si="8"/>
        <v>500</v>
      </c>
      <c r="S7" s="52">
        <f t="shared" si="9"/>
        <v>625</v>
      </c>
      <c r="T7" s="52">
        <f t="shared" si="10"/>
        <v>700</v>
      </c>
      <c r="U7" s="53">
        <f>+R7/2</f>
        <v>250</v>
      </c>
      <c r="V7" s="45">
        <f ca="1">VLOOKUP(F7,AGE!F:J,4,FALSE)</f>
        <v>2013</v>
      </c>
      <c r="W7" s="45">
        <f ca="1">VLOOKUP(F7,AGE!F:J,5,FALSE)</f>
        <v>2010</v>
      </c>
      <c r="Y7" s="33">
        <f t="shared" si="0"/>
        <v>0</v>
      </c>
    </row>
    <row r="8" spans="1:25" x14ac:dyDescent="0.3">
      <c r="A8" s="33">
        <v>10</v>
      </c>
      <c r="B8" s="33">
        <v>10</v>
      </c>
      <c r="C8" s="33">
        <v>4</v>
      </c>
      <c r="D8" s="34" t="str">
        <f t="shared" si="1"/>
        <v>10104</v>
      </c>
      <c r="E8" s="33" t="s">
        <v>2</v>
      </c>
      <c r="F8" s="44" t="s">
        <v>14</v>
      </c>
      <c r="G8" s="55" t="s">
        <v>25</v>
      </c>
      <c r="H8" s="56">
        <f>SUM(H5:H7)</f>
        <v>1550</v>
      </c>
      <c r="I8" s="57">
        <f t="shared" ref="I8:O8" si="11">SUM(I5:I7)</f>
        <v>1705</v>
      </c>
      <c r="J8" s="57">
        <f t="shared" si="11"/>
        <v>1395</v>
      </c>
      <c r="K8" s="57"/>
      <c r="L8" s="58"/>
      <c r="M8" s="59"/>
      <c r="N8" s="60">
        <f t="shared" si="11"/>
        <v>5.8166666666666664</v>
      </c>
      <c r="O8" s="61">
        <f t="shared" si="11"/>
        <v>7.270833333333333</v>
      </c>
      <c r="P8" s="62"/>
      <c r="Q8" s="63"/>
      <c r="R8" s="64">
        <f>SUM(R5:R7)</f>
        <v>1550</v>
      </c>
      <c r="S8" s="64">
        <f>SUM(S5:S7)</f>
        <v>1937.5</v>
      </c>
      <c r="T8" s="65"/>
      <c r="U8" s="66">
        <f>SUM(U5:U7)</f>
        <v>775</v>
      </c>
      <c r="V8" s="45">
        <f ca="1">VLOOKUP(F8,AGE!F:J,4,FALSE)</f>
        <v>2013</v>
      </c>
      <c r="W8" s="45">
        <f ca="1">VLOOKUP(F8,AGE!F:J,5,FALSE)</f>
        <v>2010</v>
      </c>
      <c r="Y8" s="33">
        <f t="shared" si="0"/>
        <v>0</v>
      </c>
    </row>
    <row r="9" spans="1:25" x14ac:dyDescent="0.3">
      <c r="A9" s="33">
        <v>10</v>
      </c>
      <c r="B9" s="33">
        <v>20</v>
      </c>
      <c r="C9" s="33">
        <v>1</v>
      </c>
      <c r="D9" s="34" t="str">
        <f t="shared" si="1"/>
        <v>10201</v>
      </c>
      <c r="E9" s="33" t="s">
        <v>2</v>
      </c>
      <c r="F9" s="44" t="s">
        <v>15</v>
      </c>
      <c r="G9" s="45" t="s">
        <v>8</v>
      </c>
      <c r="H9" s="46">
        <v>100</v>
      </c>
      <c r="I9" s="47">
        <f>H9*1.1</f>
        <v>110.00000000000001</v>
      </c>
      <c r="J9" s="47">
        <f>H9*0.9</f>
        <v>90</v>
      </c>
      <c r="K9" s="47">
        <f>60+50</f>
        <v>110</v>
      </c>
      <c r="L9" s="48" t="s">
        <v>31</v>
      </c>
      <c r="M9" s="49">
        <f>IF(L9="Sec/100m",((K9)/60/100),(IF(L9="Km/h",60/K9/1000,(IF(L9="Min/km",K9/1000,"")))))</f>
        <v>1.8333333333333333E-2</v>
      </c>
      <c r="N9" s="50">
        <f>H9*M9</f>
        <v>1.8333333333333333</v>
      </c>
      <c r="O9" s="50">
        <f>N9*1.25</f>
        <v>2.2916666666666665</v>
      </c>
      <c r="P9" s="51">
        <f>N9*1.4</f>
        <v>2.5666666666666664</v>
      </c>
      <c r="Q9" s="50">
        <f>O5</f>
        <v>1.1458333333333333</v>
      </c>
      <c r="R9" s="52">
        <f>N9/M9</f>
        <v>100</v>
      </c>
      <c r="S9" s="52">
        <f>O9/M9</f>
        <v>124.99999999999999</v>
      </c>
      <c r="T9" s="52">
        <f>P9/M9</f>
        <v>140</v>
      </c>
      <c r="U9" s="67">
        <f>S5</f>
        <v>62.499999999999993</v>
      </c>
      <c r="V9" s="45">
        <f ca="1">VLOOKUP(F9,AGE!F:J,4,FALSE)</f>
        <v>2011</v>
      </c>
      <c r="W9" s="45">
        <f ca="1">VLOOKUP(F9,AGE!F:J,5,FALSE)</f>
        <v>2008</v>
      </c>
      <c r="Y9" s="33">
        <f t="shared" si="0"/>
        <v>0</v>
      </c>
    </row>
    <row r="10" spans="1:25" x14ac:dyDescent="0.3">
      <c r="A10" s="33">
        <v>10</v>
      </c>
      <c r="B10" s="33">
        <v>20</v>
      </c>
      <c r="C10" s="33">
        <v>2</v>
      </c>
      <c r="D10" s="34" t="str">
        <f t="shared" si="1"/>
        <v>10202</v>
      </c>
      <c r="E10" s="33" t="s">
        <v>2</v>
      </c>
      <c r="F10" s="44" t="s">
        <v>15</v>
      </c>
      <c r="G10" s="54" t="s">
        <v>13</v>
      </c>
      <c r="H10" s="46">
        <v>2000</v>
      </c>
      <c r="I10" s="47">
        <f t="shared" ref="I10:I11" si="12">H10*1.1</f>
        <v>2200</v>
      </c>
      <c r="J10" s="47">
        <f t="shared" ref="J10:J11" si="13">H10*0.9</f>
        <v>1800</v>
      </c>
      <c r="K10" s="47">
        <v>25</v>
      </c>
      <c r="L10" s="48" t="s">
        <v>28</v>
      </c>
      <c r="M10" s="49">
        <f t="shared" ref="M10:M11" si="14">IF(L10="Sec/100m",((K10)/60/100),(IF(L10="Km/h",60/K10/1000,(IF(L10="Min/km",K10/1000,"")))))</f>
        <v>2.3999999999999998E-3</v>
      </c>
      <c r="N10" s="50">
        <f t="shared" ref="N10:N11" si="15">H10*M10</f>
        <v>4.8</v>
      </c>
      <c r="O10" s="50">
        <f t="shared" ref="O10:O11" si="16">N10*1.25</f>
        <v>6</v>
      </c>
      <c r="P10" s="51">
        <f t="shared" ref="P10:P11" si="17">N10*1.4</f>
        <v>6.72</v>
      </c>
      <c r="Q10" s="50">
        <f t="shared" ref="Q10:Q11" si="18">O6</f>
        <v>3</v>
      </c>
      <c r="R10" s="52">
        <f t="shared" ref="R10:R11" si="19">N10/M10</f>
        <v>2000</v>
      </c>
      <c r="S10" s="52">
        <f t="shared" ref="S10:S11" si="20">O10/M10</f>
        <v>2500</v>
      </c>
      <c r="T10" s="52">
        <f t="shared" ref="T10:T11" si="21">P10/M10</f>
        <v>2800</v>
      </c>
      <c r="U10" s="67">
        <f>S6</f>
        <v>1250</v>
      </c>
      <c r="V10" s="45">
        <f ca="1">VLOOKUP(F10,AGE!F:J,4,FALSE)</f>
        <v>2011</v>
      </c>
      <c r="W10" s="45">
        <f ca="1">VLOOKUP(F10,AGE!F:J,5,FALSE)</f>
        <v>2008</v>
      </c>
      <c r="Y10" s="33">
        <f t="shared" si="0"/>
        <v>0</v>
      </c>
    </row>
    <row r="11" spans="1:25" x14ac:dyDescent="0.3">
      <c r="A11" s="33">
        <v>10</v>
      </c>
      <c r="B11" s="33">
        <v>20</v>
      </c>
      <c r="C11" s="33">
        <v>3</v>
      </c>
      <c r="D11" s="34" t="str">
        <f t="shared" si="1"/>
        <v>10203</v>
      </c>
      <c r="E11" s="33" t="s">
        <v>2</v>
      </c>
      <c r="F11" s="44" t="s">
        <v>15</v>
      </c>
      <c r="G11" s="45" t="s">
        <v>10</v>
      </c>
      <c r="H11" s="46">
        <v>1000</v>
      </c>
      <c r="I11" s="47">
        <f t="shared" si="12"/>
        <v>1100</v>
      </c>
      <c r="J11" s="47">
        <f t="shared" si="13"/>
        <v>900</v>
      </c>
      <c r="K11" s="47">
        <v>5</v>
      </c>
      <c r="L11" s="48" t="s">
        <v>32</v>
      </c>
      <c r="M11" s="49">
        <f t="shared" si="14"/>
        <v>5.0000000000000001E-3</v>
      </c>
      <c r="N11" s="50">
        <f t="shared" si="15"/>
        <v>5</v>
      </c>
      <c r="O11" s="50">
        <f t="shared" si="16"/>
        <v>6.25</v>
      </c>
      <c r="P11" s="51">
        <f t="shared" si="17"/>
        <v>7</v>
      </c>
      <c r="Q11" s="50">
        <f t="shared" si="18"/>
        <v>3.125</v>
      </c>
      <c r="R11" s="52">
        <f t="shared" si="19"/>
        <v>1000</v>
      </c>
      <c r="S11" s="52">
        <f t="shared" si="20"/>
        <v>1250</v>
      </c>
      <c r="T11" s="52">
        <f t="shared" si="21"/>
        <v>1400</v>
      </c>
      <c r="U11" s="67">
        <f>S7</f>
        <v>625</v>
      </c>
      <c r="V11" s="45">
        <f ca="1">VLOOKUP(F11,AGE!F:J,4,FALSE)</f>
        <v>2011</v>
      </c>
      <c r="W11" s="45">
        <f ca="1">VLOOKUP(F11,AGE!F:J,5,FALSE)</f>
        <v>2008</v>
      </c>
      <c r="Y11" s="33">
        <f t="shared" si="0"/>
        <v>0</v>
      </c>
    </row>
    <row r="12" spans="1:25" x14ac:dyDescent="0.3">
      <c r="A12" s="33">
        <v>10</v>
      </c>
      <c r="B12" s="33">
        <v>20</v>
      </c>
      <c r="C12" s="33">
        <v>4</v>
      </c>
      <c r="D12" s="34" t="str">
        <f t="shared" si="1"/>
        <v>10204</v>
      </c>
      <c r="E12" s="33" t="s">
        <v>2</v>
      </c>
      <c r="F12" s="44" t="s">
        <v>15</v>
      </c>
      <c r="G12" s="55" t="s">
        <v>25</v>
      </c>
      <c r="H12" s="56">
        <f>SUM(H9:H11)</f>
        <v>3100</v>
      </c>
      <c r="I12" s="57">
        <f t="shared" ref="I12" si="22">SUM(I9:I11)</f>
        <v>3410</v>
      </c>
      <c r="J12" s="57">
        <f t="shared" ref="J12" si="23">SUM(J9:J11)</f>
        <v>2790</v>
      </c>
      <c r="K12" s="57"/>
      <c r="L12" s="58"/>
      <c r="M12" s="59"/>
      <c r="N12" s="60">
        <f t="shared" ref="N12" si="24">SUM(N9:N11)</f>
        <v>11.633333333333333</v>
      </c>
      <c r="O12" s="61">
        <f t="shared" ref="O12" si="25">SUM(O9:O11)</f>
        <v>14.541666666666666</v>
      </c>
      <c r="P12" s="62"/>
      <c r="Q12" s="62">
        <f t="shared" ref="Q12" si="26">SUM(Q9:Q11)</f>
        <v>7.270833333333333</v>
      </c>
      <c r="R12" s="64">
        <f>SUM(R9:R11)</f>
        <v>3100</v>
      </c>
      <c r="S12" s="64">
        <f>SUM(S9:S11)</f>
        <v>3875</v>
      </c>
      <c r="T12" s="65"/>
      <c r="U12" s="66">
        <f>SUM(U9:U11)</f>
        <v>1937.5</v>
      </c>
      <c r="V12" s="45">
        <f ca="1">VLOOKUP(F12,AGE!F:J,4,FALSE)</f>
        <v>2011</v>
      </c>
      <c r="W12" s="45">
        <f ca="1">VLOOKUP(F12,AGE!F:J,5,FALSE)</f>
        <v>2008</v>
      </c>
      <c r="Y12" s="33">
        <f t="shared" si="0"/>
        <v>0</v>
      </c>
    </row>
    <row r="13" spans="1:25" x14ac:dyDescent="0.3">
      <c r="A13" s="33">
        <v>10</v>
      </c>
      <c r="B13" s="33">
        <v>30</v>
      </c>
      <c r="C13" s="33">
        <v>1</v>
      </c>
      <c r="D13" s="34" t="str">
        <f t="shared" si="1"/>
        <v>10301</v>
      </c>
      <c r="E13" s="33" t="s">
        <v>2</v>
      </c>
      <c r="F13" s="44" t="s">
        <v>79</v>
      </c>
      <c r="G13" s="45" t="s">
        <v>8</v>
      </c>
      <c r="H13" s="46">
        <v>200</v>
      </c>
      <c r="I13" s="47">
        <f>H13*1.1</f>
        <v>220.00000000000003</v>
      </c>
      <c r="J13" s="47">
        <f>H13*0.9</f>
        <v>180</v>
      </c>
      <c r="K13" s="47">
        <f>60+50</f>
        <v>110</v>
      </c>
      <c r="L13" s="48" t="s">
        <v>31</v>
      </c>
      <c r="M13" s="49">
        <f>IF(L13="Sec/100m",((K13)/60/100),(IF(L13="Km/h",60/K13/1000,(IF(L13="Min/km",K13/1000,"")))))</f>
        <v>1.8333333333333333E-2</v>
      </c>
      <c r="N13" s="50">
        <f>H13*M13</f>
        <v>3.6666666666666665</v>
      </c>
      <c r="O13" s="50">
        <f>N13*1.25</f>
        <v>4.583333333333333</v>
      </c>
      <c r="P13" s="51">
        <f>N13*1.4</f>
        <v>5.1333333333333329</v>
      </c>
      <c r="Q13" s="50">
        <f>O9</f>
        <v>2.2916666666666665</v>
      </c>
      <c r="R13" s="52">
        <f>N13/M13</f>
        <v>200</v>
      </c>
      <c r="S13" s="52">
        <f>O13/M13</f>
        <v>249.99999999999997</v>
      </c>
      <c r="T13" s="52">
        <f>P13/M13</f>
        <v>280</v>
      </c>
      <c r="U13" s="67">
        <f>S9</f>
        <v>124.99999999999999</v>
      </c>
      <c r="V13" s="45">
        <f ca="1">VLOOKUP(F13,AGE!F:J,4,FALSE)</f>
        <v>2009</v>
      </c>
      <c r="W13" s="45">
        <f ca="1">VLOOKUP(F13,AGE!F:J,5,FALSE)</f>
        <v>2006</v>
      </c>
      <c r="Y13" s="33">
        <f t="shared" si="0"/>
        <v>0</v>
      </c>
    </row>
    <row r="14" spans="1:25" x14ac:dyDescent="0.3">
      <c r="A14" s="33">
        <v>10</v>
      </c>
      <c r="B14" s="33">
        <v>30</v>
      </c>
      <c r="C14" s="33">
        <v>2</v>
      </c>
      <c r="D14" s="34" t="str">
        <f t="shared" si="1"/>
        <v>10302</v>
      </c>
      <c r="E14" s="33" t="s">
        <v>2</v>
      </c>
      <c r="F14" s="44" t="s">
        <v>79</v>
      </c>
      <c r="G14" s="54" t="s">
        <v>13</v>
      </c>
      <c r="H14" s="46">
        <v>4000</v>
      </c>
      <c r="I14" s="47">
        <f t="shared" ref="I14:I15" si="27">H14*1.1</f>
        <v>4400</v>
      </c>
      <c r="J14" s="47">
        <f t="shared" ref="J14:J15" si="28">H14*0.9</f>
        <v>3600</v>
      </c>
      <c r="K14" s="47">
        <v>25</v>
      </c>
      <c r="L14" s="48" t="s">
        <v>28</v>
      </c>
      <c r="M14" s="49">
        <f t="shared" ref="M14:M15" si="29">IF(L14="Sec/100m",((K14)/60/100),(IF(L14="Km/h",60/K14/1000,(IF(L14="Min/km",K14/1000,"")))))</f>
        <v>2.3999999999999998E-3</v>
      </c>
      <c r="N14" s="50">
        <f t="shared" ref="N14:N15" si="30">H14*M14</f>
        <v>9.6</v>
      </c>
      <c r="O14" s="50">
        <f t="shared" ref="O14:O15" si="31">N14*1.25</f>
        <v>12</v>
      </c>
      <c r="P14" s="51">
        <f t="shared" ref="P14:P15" si="32">N14*1.4</f>
        <v>13.44</v>
      </c>
      <c r="Q14" s="50">
        <f t="shared" ref="Q14:Q15" si="33">O10</f>
        <v>6</v>
      </c>
      <c r="R14" s="52">
        <f t="shared" ref="R14:R15" si="34">N14/M14</f>
        <v>4000</v>
      </c>
      <c r="S14" s="52">
        <f t="shared" ref="S14:S15" si="35">O14/M14</f>
        <v>5000</v>
      </c>
      <c r="T14" s="52">
        <f t="shared" ref="T14:T15" si="36">P14/M14</f>
        <v>5600</v>
      </c>
      <c r="U14" s="67">
        <f>S10</f>
        <v>2500</v>
      </c>
      <c r="V14" s="45">
        <f ca="1">VLOOKUP(F14,AGE!F:J,4,FALSE)</f>
        <v>2009</v>
      </c>
      <c r="W14" s="45">
        <f ca="1">VLOOKUP(F14,AGE!F:J,5,FALSE)</f>
        <v>2006</v>
      </c>
      <c r="Y14" s="33">
        <f t="shared" si="0"/>
        <v>0</v>
      </c>
    </row>
    <row r="15" spans="1:25" x14ac:dyDescent="0.3">
      <c r="A15" s="33">
        <v>10</v>
      </c>
      <c r="B15" s="33">
        <v>30</v>
      </c>
      <c r="C15" s="33">
        <v>3</v>
      </c>
      <c r="D15" s="34" t="str">
        <f t="shared" si="1"/>
        <v>10303</v>
      </c>
      <c r="E15" s="33" t="s">
        <v>2</v>
      </c>
      <c r="F15" s="44" t="s">
        <v>79</v>
      </c>
      <c r="G15" s="45" t="s">
        <v>10</v>
      </c>
      <c r="H15" s="46">
        <v>1500</v>
      </c>
      <c r="I15" s="47">
        <f t="shared" si="27"/>
        <v>1650.0000000000002</v>
      </c>
      <c r="J15" s="47">
        <f t="shared" si="28"/>
        <v>1350</v>
      </c>
      <c r="K15" s="47">
        <v>5</v>
      </c>
      <c r="L15" s="48" t="s">
        <v>32</v>
      </c>
      <c r="M15" s="49">
        <f t="shared" si="29"/>
        <v>5.0000000000000001E-3</v>
      </c>
      <c r="N15" s="50">
        <f t="shared" si="30"/>
        <v>7.5</v>
      </c>
      <c r="O15" s="50">
        <f t="shared" si="31"/>
        <v>9.375</v>
      </c>
      <c r="P15" s="51">
        <f t="shared" si="32"/>
        <v>10.5</v>
      </c>
      <c r="Q15" s="50">
        <f t="shared" si="33"/>
        <v>6.25</v>
      </c>
      <c r="R15" s="52">
        <f t="shared" si="34"/>
        <v>1500</v>
      </c>
      <c r="S15" s="52">
        <f t="shared" si="35"/>
        <v>1875</v>
      </c>
      <c r="T15" s="52">
        <f t="shared" si="36"/>
        <v>2100</v>
      </c>
      <c r="U15" s="67">
        <f>S11</f>
        <v>1250</v>
      </c>
      <c r="V15" s="45">
        <f ca="1">VLOOKUP(F15,AGE!F:J,4,FALSE)</f>
        <v>2009</v>
      </c>
      <c r="W15" s="45">
        <f ca="1">VLOOKUP(F15,AGE!F:J,5,FALSE)</f>
        <v>2006</v>
      </c>
      <c r="Y15" s="33">
        <f t="shared" si="0"/>
        <v>0</v>
      </c>
    </row>
    <row r="16" spans="1:25" x14ac:dyDescent="0.3">
      <c r="A16" s="33">
        <v>10</v>
      </c>
      <c r="B16" s="33">
        <v>30</v>
      </c>
      <c r="C16" s="33">
        <v>4</v>
      </c>
      <c r="D16" s="34" t="str">
        <f t="shared" si="1"/>
        <v>10304</v>
      </c>
      <c r="E16" s="33" t="s">
        <v>2</v>
      </c>
      <c r="F16" s="44" t="s">
        <v>79</v>
      </c>
      <c r="G16" s="55" t="s">
        <v>25</v>
      </c>
      <c r="H16" s="56">
        <f>SUM(H13:H15)</f>
        <v>5700</v>
      </c>
      <c r="I16" s="57">
        <f t="shared" ref="I16" si="37">SUM(I13:I15)</f>
        <v>6270</v>
      </c>
      <c r="J16" s="57">
        <f t="shared" ref="J16" si="38">SUM(J13:J15)</f>
        <v>5130</v>
      </c>
      <c r="K16" s="57"/>
      <c r="L16" s="58"/>
      <c r="M16" s="59"/>
      <c r="N16" s="60">
        <f t="shared" ref="N16" si="39">SUM(N13:N15)</f>
        <v>20.766666666666666</v>
      </c>
      <c r="O16" s="61">
        <f t="shared" ref="O16" si="40">SUM(O13:O15)</f>
        <v>25.958333333333332</v>
      </c>
      <c r="P16" s="62"/>
      <c r="Q16" s="62">
        <f t="shared" ref="Q16" si="41">SUM(Q13:Q15)</f>
        <v>14.541666666666666</v>
      </c>
      <c r="R16" s="64">
        <f>SUM(R13:R15)</f>
        <v>5700</v>
      </c>
      <c r="S16" s="64">
        <f>SUM(S13:S15)</f>
        <v>7125</v>
      </c>
      <c r="T16" s="65"/>
      <c r="U16" s="66">
        <f>SUM(U13:U15)</f>
        <v>3875</v>
      </c>
      <c r="V16" s="45">
        <f ca="1">VLOOKUP(F16,AGE!F:J,4,FALSE)</f>
        <v>2009</v>
      </c>
      <c r="W16" s="45">
        <f ca="1">VLOOKUP(F16,AGE!F:J,5,FALSE)</f>
        <v>2006</v>
      </c>
      <c r="Y16" s="33">
        <f t="shared" si="0"/>
        <v>0</v>
      </c>
    </row>
    <row r="17" spans="1:25" x14ac:dyDescent="0.3">
      <c r="A17" s="33">
        <v>10</v>
      </c>
      <c r="B17" s="33">
        <v>40</v>
      </c>
      <c r="C17" s="33">
        <v>1</v>
      </c>
      <c r="D17" s="34" t="str">
        <f t="shared" si="1"/>
        <v>10401</v>
      </c>
      <c r="E17" s="33" t="s">
        <v>2</v>
      </c>
      <c r="F17" s="44" t="s">
        <v>17</v>
      </c>
      <c r="G17" s="45" t="s">
        <v>8</v>
      </c>
      <c r="H17" s="46">
        <v>300</v>
      </c>
      <c r="I17" s="47">
        <f>H17*1.1</f>
        <v>330</v>
      </c>
      <c r="J17" s="47">
        <f>H17*0.9</f>
        <v>270</v>
      </c>
      <c r="K17" s="47">
        <f>60+50</f>
        <v>110</v>
      </c>
      <c r="L17" s="48" t="s">
        <v>31</v>
      </c>
      <c r="M17" s="49">
        <f>IF(L17="Sec/100m",((K17)/60/100),(IF(L17="Km/h",60/K17/1000,(IF(L17="Min/km",K17/1000,"")))))</f>
        <v>1.8333333333333333E-2</v>
      </c>
      <c r="N17" s="50">
        <f>H17*M17</f>
        <v>5.5</v>
      </c>
      <c r="O17" s="50">
        <f>N17*1.25</f>
        <v>6.875</v>
      </c>
      <c r="P17" s="51">
        <f>N17*1.4</f>
        <v>7.6999999999999993</v>
      </c>
      <c r="Q17" s="50">
        <f>O13</f>
        <v>4.583333333333333</v>
      </c>
      <c r="R17" s="52">
        <f>N17/M17</f>
        <v>300</v>
      </c>
      <c r="S17" s="52">
        <f>O17/M17</f>
        <v>375</v>
      </c>
      <c r="T17" s="52">
        <f>P17/M17</f>
        <v>419.99999999999994</v>
      </c>
      <c r="U17" s="67">
        <f>S13</f>
        <v>249.99999999999997</v>
      </c>
      <c r="V17" s="45">
        <f ca="1">VLOOKUP(F17,AGE!F:J,4,FALSE)</f>
        <v>2007</v>
      </c>
      <c r="W17" s="45">
        <f ca="1">VLOOKUP(F17,AGE!F:J,5,FALSE)</f>
        <v>2000</v>
      </c>
      <c r="Y17" s="33">
        <f t="shared" si="0"/>
        <v>0</v>
      </c>
    </row>
    <row r="18" spans="1:25" x14ac:dyDescent="0.3">
      <c r="A18" s="33">
        <v>10</v>
      </c>
      <c r="B18" s="33">
        <v>40</v>
      </c>
      <c r="C18" s="33">
        <v>2</v>
      </c>
      <c r="D18" s="34" t="str">
        <f t="shared" si="1"/>
        <v>10402</v>
      </c>
      <c r="E18" s="33" t="s">
        <v>2</v>
      </c>
      <c r="F18" s="44" t="s">
        <v>17</v>
      </c>
      <c r="G18" s="54" t="s">
        <v>13</v>
      </c>
      <c r="H18" s="46">
        <v>6000</v>
      </c>
      <c r="I18" s="47">
        <f t="shared" ref="I18:I19" si="42">H18*1.1</f>
        <v>6600.0000000000009</v>
      </c>
      <c r="J18" s="47">
        <f t="shared" ref="J18:J19" si="43">H18*0.9</f>
        <v>5400</v>
      </c>
      <c r="K18" s="47">
        <v>25</v>
      </c>
      <c r="L18" s="48" t="s">
        <v>28</v>
      </c>
      <c r="M18" s="49">
        <f t="shared" ref="M18:M19" si="44">IF(L18="Sec/100m",((K18)/60/100),(IF(L18="Km/h",60/K18/1000,(IF(L18="Min/km",K18/1000,"")))))</f>
        <v>2.3999999999999998E-3</v>
      </c>
      <c r="N18" s="50">
        <f t="shared" ref="N18:N19" si="45">H18*M18</f>
        <v>14.399999999999999</v>
      </c>
      <c r="O18" s="50">
        <f t="shared" ref="O18:O19" si="46">N18*1.25</f>
        <v>18</v>
      </c>
      <c r="P18" s="51">
        <f t="shared" ref="P18:P31" si="47">N18*1.4</f>
        <v>20.159999999999997</v>
      </c>
      <c r="Q18" s="50">
        <f t="shared" ref="Q18:Q19" si="48">O14</f>
        <v>12</v>
      </c>
      <c r="R18" s="52">
        <f t="shared" ref="R18:R19" si="49">N18/M18</f>
        <v>6000</v>
      </c>
      <c r="S18" s="52">
        <f t="shared" ref="S18:S19" si="50">O18/M18</f>
        <v>7500.0000000000009</v>
      </c>
      <c r="T18" s="52">
        <f t="shared" ref="T18:T19" si="51">P18/M18</f>
        <v>8400</v>
      </c>
      <c r="U18" s="67">
        <f>S14</f>
        <v>5000</v>
      </c>
      <c r="V18" s="45">
        <f ca="1">VLOOKUP(F18,AGE!F:J,4,FALSE)</f>
        <v>2007</v>
      </c>
      <c r="W18" s="45">
        <f ca="1">VLOOKUP(F18,AGE!F:J,5,FALSE)</f>
        <v>2000</v>
      </c>
      <c r="Y18" s="33">
        <f t="shared" si="0"/>
        <v>0</v>
      </c>
    </row>
    <row r="19" spans="1:25" x14ac:dyDescent="0.3">
      <c r="A19" s="33">
        <v>10</v>
      </c>
      <c r="B19" s="33">
        <v>40</v>
      </c>
      <c r="C19" s="33">
        <v>3</v>
      </c>
      <c r="D19" s="34" t="str">
        <f t="shared" si="1"/>
        <v>10403</v>
      </c>
      <c r="E19" s="33" t="s">
        <v>2</v>
      </c>
      <c r="F19" s="44" t="s">
        <v>17</v>
      </c>
      <c r="G19" s="45" t="s">
        <v>10</v>
      </c>
      <c r="H19" s="46">
        <v>2000</v>
      </c>
      <c r="I19" s="47">
        <f t="shared" si="42"/>
        <v>2200</v>
      </c>
      <c r="J19" s="47">
        <f t="shared" si="43"/>
        <v>1800</v>
      </c>
      <c r="K19" s="47">
        <v>5</v>
      </c>
      <c r="L19" s="48" t="s">
        <v>32</v>
      </c>
      <c r="M19" s="49">
        <f t="shared" si="44"/>
        <v>5.0000000000000001E-3</v>
      </c>
      <c r="N19" s="50">
        <f t="shared" si="45"/>
        <v>10</v>
      </c>
      <c r="O19" s="50">
        <f t="shared" si="46"/>
        <v>12.5</v>
      </c>
      <c r="P19" s="51">
        <f t="shared" si="47"/>
        <v>14</v>
      </c>
      <c r="Q19" s="50">
        <f t="shared" si="48"/>
        <v>9.375</v>
      </c>
      <c r="R19" s="52">
        <f t="shared" si="49"/>
        <v>2000</v>
      </c>
      <c r="S19" s="52">
        <f t="shared" si="50"/>
        <v>2500</v>
      </c>
      <c r="T19" s="52">
        <f t="shared" si="51"/>
        <v>2800</v>
      </c>
      <c r="U19" s="67">
        <f>S15</f>
        <v>1875</v>
      </c>
      <c r="V19" s="45">
        <f ca="1">VLOOKUP(F19,AGE!F:J,4,FALSE)</f>
        <v>2007</v>
      </c>
      <c r="W19" s="45">
        <f ca="1">VLOOKUP(F19,AGE!F:J,5,FALSE)</f>
        <v>2000</v>
      </c>
      <c r="Y19" s="33">
        <f t="shared" si="0"/>
        <v>0</v>
      </c>
    </row>
    <row r="20" spans="1:25" ht="15.75" customHeight="1" x14ac:dyDescent="0.3">
      <c r="A20" s="33">
        <v>10</v>
      </c>
      <c r="B20" s="33">
        <v>40</v>
      </c>
      <c r="C20" s="33">
        <v>4</v>
      </c>
      <c r="D20" s="34" t="str">
        <f t="shared" si="1"/>
        <v>10404</v>
      </c>
      <c r="E20" s="33" t="s">
        <v>2</v>
      </c>
      <c r="F20" s="44" t="s">
        <v>17</v>
      </c>
      <c r="G20" s="55" t="s">
        <v>25</v>
      </c>
      <c r="H20" s="56">
        <f>SUM(H17:H19)</f>
        <v>8300</v>
      </c>
      <c r="I20" s="57">
        <f t="shared" ref="I20" si="52">SUM(I17:I19)</f>
        <v>9130</v>
      </c>
      <c r="J20" s="57">
        <f t="shared" ref="J20" si="53">SUM(J17:J19)</f>
        <v>7470</v>
      </c>
      <c r="K20" s="57"/>
      <c r="L20" s="58"/>
      <c r="M20" s="59"/>
      <c r="N20" s="60">
        <f t="shared" ref="N20" si="54">SUM(N17:N19)</f>
        <v>29.9</v>
      </c>
      <c r="O20" s="61">
        <f t="shared" ref="O20" si="55">SUM(O17:O19)</f>
        <v>37.375</v>
      </c>
      <c r="P20" s="62"/>
      <c r="Q20" s="62">
        <f t="shared" ref="Q20" si="56">SUM(Q17:Q19)</f>
        <v>25.958333333333332</v>
      </c>
      <c r="R20" s="64">
        <f>SUM(R17:R19)</f>
        <v>8300</v>
      </c>
      <c r="S20" s="64">
        <f>SUM(S17:S19)</f>
        <v>10375</v>
      </c>
      <c r="T20" s="65"/>
      <c r="U20" s="66">
        <f>SUM(U17:U19)</f>
        <v>7125</v>
      </c>
      <c r="V20" s="45">
        <f ca="1">VLOOKUP(F20,AGE!F:J,4,FALSE)</f>
        <v>2007</v>
      </c>
      <c r="W20" s="45">
        <f ca="1">VLOOKUP(F20,AGE!F:J,5,FALSE)</f>
        <v>2000</v>
      </c>
      <c r="Y20" s="33">
        <f t="shared" si="0"/>
        <v>0</v>
      </c>
    </row>
    <row r="21" spans="1:25" ht="15.75" customHeight="1" x14ac:dyDescent="0.3">
      <c r="A21" s="33">
        <v>10</v>
      </c>
      <c r="B21" s="33">
        <v>50</v>
      </c>
      <c r="C21" s="33">
        <v>1</v>
      </c>
      <c r="D21" s="34" t="str">
        <f t="shared" si="1"/>
        <v>10501</v>
      </c>
      <c r="E21" s="33" t="s">
        <v>2</v>
      </c>
      <c r="F21" s="44" t="s">
        <v>18</v>
      </c>
      <c r="G21" s="45" t="s">
        <v>8</v>
      </c>
      <c r="H21" s="46">
        <v>400</v>
      </c>
      <c r="I21" s="47">
        <f>H21*1.1</f>
        <v>440.00000000000006</v>
      </c>
      <c r="J21" s="47">
        <f>H21*0.9</f>
        <v>360</v>
      </c>
      <c r="K21" s="47">
        <v>105</v>
      </c>
      <c r="L21" s="48" t="s">
        <v>31</v>
      </c>
      <c r="M21" s="49">
        <f>IF(L21="Sec/100m",((K21)/60/100),(IF(L21="Km/h",60/K21/1000,(IF(L21="Min/km",K21/1000,"")))))</f>
        <v>1.7500000000000002E-2</v>
      </c>
      <c r="N21" s="50">
        <f>H21*M21</f>
        <v>7.0000000000000009</v>
      </c>
      <c r="O21" s="50">
        <f>N21*1.25</f>
        <v>8.7500000000000018</v>
      </c>
      <c r="P21" s="51">
        <f t="shared" si="47"/>
        <v>9.8000000000000007</v>
      </c>
      <c r="Q21" s="50">
        <f>O17</f>
        <v>6.875</v>
      </c>
      <c r="R21" s="52">
        <f>N21/M21</f>
        <v>400</v>
      </c>
      <c r="S21" s="52">
        <f>O21/M21</f>
        <v>500.00000000000006</v>
      </c>
      <c r="T21" s="52">
        <f>P21/M21</f>
        <v>560</v>
      </c>
      <c r="U21" s="67">
        <f>(N21*0.5)/M21</f>
        <v>200</v>
      </c>
      <c r="V21" s="45">
        <f ca="1">VLOOKUP(F21,AGE!F:J,4,FALSE)</f>
        <v>2007</v>
      </c>
      <c r="W21" s="45">
        <f ca="1">VLOOKUP(F21,AGE!F:J,5,FALSE)</f>
        <v>1920</v>
      </c>
      <c r="Y21" s="33">
        <f t="shared" si="0"/>
        <v>0</v>
      </c>
    </row>
    <row r="22" spans="1:25" ht="15.75" customHeight="1" x14ac:dyDescent="0.3">
      <c r="A22" s="33">
        <v>10</v>
      </c>
      <c r="B22" s="33">
        <v>50</v>
      </c>
      <c r="C22" s="33">
        <v>2</v>
      </c>
      <c r="D22" s="34" t="str">
        <f t="shared" si="1"/>
        <v>10502</v>
      </c>
      <c r="E22" s="33" t="s">
        <v>2</v>
      </c>
      <c r="F22" s="44" t="s">
        <v>18</v>
      </c>
      <c r="G22" s="54" t="s">
        <v>13</v>
      </c>
      <c r="H22" s="46">
        <v>10000</v>
      </c>
      <c r="I22" s="47">
        <f t="shared" ref="I22:I23" si="57">H22*1.1</f>
        <v>11000</v>
      </c>
      <c r="J22" s="47">
        <f t="shared" ref="J22:J23" si="58">H22*0.9</f>
        <v>9000</v>
      </c>
      <c r="K22" s="47">
        <v>32</v>
      </c>
      <c r="L22" s="48" t="s">
        <v>28</v>
      </c>
      <c r="M22" s="49">
        <f t="shared" ref="M22:M23" si="59">IF(L22="Sec/100m",((K22)/60/100),(IF(L22="Km/h",60/K22/1000,(IF(L22="Min/km",K22/1000,"")))))</f>
        <v>1.8749999999999999E-3</v>
      </c>
      <c r="N22" s="50">
        <f t="shared" ref="N22:N23" si="60">H22*M22</f>
        <v>18.75</v>
      </c>
      <c r="O22" s="50">
        <f t="shared" ref="O22:O23" si="61">N22*1.25</f>
        <v>23.4375</v>
      </c>
      <c r="P22" s="51">
        <f t="shared" si="47"/>
        <v>26.25</v>
      </c>
      <c r="Q22" s="50">
        <f t="shared" ref="Q22:Q23" si="62">O18</f>
        <v>18</v>
      </c>
      <c r="R22" s="52">
        <f t="shared" ref="R22:R23" si="63">N22/M22</f>
        <v>10000</v>
      </c>
      <c r="S22" s="52">
        <f t="shared" ref="S22" si="64">O22/M22</f>
        <v>12500</v>
      </c>
      <c r="T22" s="52">
        <f>P22/M22</f>
        <v>14000</v>
      </c>
      <c r="U22" s="67">
        <f>(N22*0.5)/M22</f>
        <v>5000</v>
      </c>
      <c r="V22" s="45">
        <f ca="1">VLOOKUP(F22,AGE!F:J,4,FALSE)</f>
        <v>2007</v>
      </c>
      <c r="W22" s="45">
        <f ca="1">VLOOKUP(F22,AGE!F:J,5,FALSE)</f>
        <v>1920</v>
      </c>
      <c r="Y22" s="33">
        <f t="shared" si="0"/>
        <v>0</v>
      </c>
    </row>
    <row r="23" spans="1:25" ht="15.75" customHeight="1" x14ac:dyDescent="0.3">
      <c r="A23" s="33">
        <v>10</v>
      </c>
      <c r="B23" s="33">
        <v>50</v>
      </c>
      <c r="C23" s="33">
        <v>3</v>
      </c>
      <c r="D23" s="34" t="str">
        <f t="shared" si="1"/>
        <v>10503</v>
      </c>
      <c r="E23" s="33" t="s">
        <v>2</v>
      </c>
      <c r="F23" s="44" t="s">
        <v>18</v>
      </c>
      <c r="G23" s="45" t="s">
        <v>10</v>
      </c>
      <c r="H23" s="46">
        <v>2500</v>
      </c>
      <c r="I23" s="47">
        <f t="shared" si="57"/>
        <v>2750</v>
      </c>
      <c r="J23" s="47">
        <f t="shared" si="58"/>
        <v>2250</v>
      </c>
      <c r="K23" s="68">
        <v>4.5</v>
      </c>
      <c r="L23" s="48" t="s">
        <v>32</v>
      </c>
      <c r="M23" s="49">
        <f t="shared" si="59"/>
        <v>4.4999999999999997E-3</v>
      </c>
      <c r="N23" s="50">
        <f t="shared" si="60"/>
        <v>11.25</v>
      </c>
      <c r="O23" s="50">
        <f t="shared" si="61"/>
        <v>14.0625</v>
      </c>
      <c r="P23" s="51">
        <f t="shared" si="47"/>
        <v>15.749999999999998</v>
      </c>
      <c r="Q23" s="50">
        <f t="shared" si="62"/>
        <v>12.5</v>
      </c>
      <c r="R23" s="52">
        <f t="shared" si="63"/>
        <v>2500</v>
      </c>
      <c r="S23" s="52">
        <f>O23/M23</f>
        <v>3125.0000000000005</v>
      </c>
      <c r="T23" s="52">
        <f>P23/M23</f>
        <v>3500</v>
      </c>
      <c r="U23" s="67">
        <f>(N23*0.5)/M23</f>
        <v>1250</v>
      </c>
      <c r="V23" s="45">
        <f ca="1">VLOOKUP(F23,AGE!F:J,4,FALSE)</f>
        <v>2007</v>
      </c>
      <c r="W23" s="45">
        <f ca="1">VLOOKUP(F23,AGE!F:J,5,FALSE)</f>
        <v>1920</v>
      </c>
      <c r="Y23" s="33">
        <f t="shared" si="0"/>
        <v>0</v>
      </c>
    </row>
    <row r="24" spans="1:25" ht="15.75" customHeight="1" x14ac:dyDescent="0.3">
      <c r="A24" s="33">
        <v>10</v>
      </c>
      <c r="B24" s="33">
        <v>50</v>
      </c>
      <c r="C24" s="33">
        <v>4</v>
      </c>
      <c r="D24" s="34" t="str">
        <f t="shared" si="1"/>
        <v>10504</v>
      </c>
      <c r="E24" s="33" t="s">
        <v>2</v>
      </c>
      <c r="F24" s="44" t="s">
        <v>18</v>
      </c>
      <c r="G24" s="55" t="s">
        <v>25</v>
      </c>
      <c r="H24" s="56">
        <f>SUM(H21:H23)</f>
        <v>12900</v>
      </c>
      <c r="I24" s="57">
        <f t="shared" ref="I24" si="65">SUM(I21:I23)</f>
        <v>14190</v>
      </c>
      <c r="J24" s="57">
        <f t="shared" ref="J24" si="66">SUM(J21:J23)</f>
        <v>11610</v>
      </c>
      <c r="K24" s="57"/>
      <c r="L24" s="58"/>
      <c r="M24" s="59"/>
      <c r="N24" s="60">
        <f t="shared" ref="N24" si="67">SUM(N21:N23)</f>
        <v>37</v>
      </c>
      <c r="O24" s="61">
        <f t="shared" ref="O24" si="68">SUM(O21:O23)</f>
        <v>46.25</v>
      </c>
      <c r="P24" s="62"/>
      <c r="Q24" s="62">
        <f t="shared" ref="Q24" si="69">SUM(Q21:Q23)</f>
        <v>37.375</v>
      </c>
      <c r="R24" s="64">
        <f>SUM(R21:R23)</f>
        <v>12900</v>
      </c>
      <c r="S24" s="64">
        <f>SUM(S21:S23)</f>
        <v>16125</v>
      </c>
      <c r="T24" s="65"/>
      <c r="U24" s="66">
        <f>SUM(U21:U23)</f>
        <v>6450</v>
      </c>
      <c r="V24" s="45">
        <f ca="1">VLOOKUP(F24,AGE!F:J,4,FALSE)</f>
        <v>2007</v>
      </c>
      <c r="W24" s="45">
        <f ca="1">VLOOKUP(F24,AGE!F:J,5,FALSE)</f>
        <v>1920</v>
      </c>
      <c r="Y24" s="33">
        <f t="shared" si="0"/>
        <v>0</v>
      </c>
    </row>
    <row r="25" spans="1:25" ht="15.75" customHeight="1" x14ac:dyDescent="0.3">
      <c r="A25" s="33">
        <v>10</v>
      </c>
      <c r="B25" s="33">
        <v>60</v>
      </c>
      <c r="C25" s="33">
        <v>1</v>
      </c>
      <c r="D25" s="34" t="str">
        <f t="shared" si="1"/>
        <v>10601</v>
      </c>
      <c r="E25" s="33" t="s">
        <v>2</v>
      </c>
      <c r="F25" s="44" t="s">
        <v>19</v>
      </c>
      <c r="G25" s="45" t="s">
        <v>8</v>
      </c>
      <c r="H25" s="46">
        <v>750</v>
      </c>
      <c r="I25" s="47">
        <f>H25*1.1</f>
        <v>825.00000000000011</v>
      </c>
      <c r="J25" s="47">
        <f>H25*0.9</f>
        <v>675</v>
      </c>
      <c r="K25" s="47">
        <v>105</v>
      </c>
      <c r="L25" s="48" t="s">
        <v>31</v>
      </c>
      <c r="M25" s="49">
        <f>IF(L25="Sec/100m",((K25)/60/100),(IF(L25="Km/h",60/K25/1000,(IF(L25="Min/km",K25/1000,"")))))</f>
        <v>1.7500000000000002E-2</v>
      </c>
      <c r="N25" s="50">
        <f>H25*M25</f>
        <v>13.125000000000002</v>
      </c>
      <c r="O25" s="50">
        <f>N25*1.25</f>
        <v>16.406250000000004</v>
      </c>
      <c r="P25" s="51">
        <f t="shared" si="47"/>
        <v>18.375</v>
      </c>
      <c r="Q25" s="50">
        <f>O21</f>
        <v>8.7500000000000018</v>
      </c>
      <c r="R25" s="52">
        <f>N25/M25</f>
        <v>750</v>
      </c>
      <c r="S25" s="52">
        <f>O25/M25</f>
        <v>937.50000000000011</v>
      </c>
      <c r="T25" s="52">
        <f>P25/M25</f>
        <v>1050</v>
      </c>
      <c r="U25" s="67">
        <f>S21</f>
        <v>500.00000000000006</v>
      </c>
      <c r="V25" s="45">
        <f ca="1">VLOOKUP(F25,AGE!F:J,4,FALSE)</f>
        <v>2003</v>
      </c>
      <c r="W25" s="45">
        <f ca="1">VLOOKUP(F25,AGE!F:J,5,FALSE)</f>
        <v>1920</v>
      </c>
      <c r="Y25" s="33">
        <f t="shared" si="0"/>
        <v>0</v>
      </c>
    </row>
    <row r="26" spans="1:25" ht="15.75" customHeight="1" x14ac:dyDescent="0.3">
      <c r="A26" s="33">
        <v>10</v>
      </c>
      <c r="B26" s="33">
        <v>60</v>
      </c>
      <c r="C26" s="33">
        <v>2</v>
      </c>
      <c r="D26" s="34" t="str">
        <f t="shared" si="1"/>
        <v>10602</v>
      </c>
      <c r="E26" s="33" t="s">
        <v>2</v>
      </c>
      <c r="F26" s="44" t="s">
        <v>19</v>
      </c>
      <c r="G26" s="54" t="s">
        <v>13</v>
      </c>
      <c r="H26" s="46">
        <v>20000</v>
      </c>
      <c r="I26" s="47">
        <f t="shared" ref="I26:I27" si="70">H26*1.1</f>
        <v>22000</v>
      </c>
      <c r="J26" s="47">
        <f t="shared" ref="J26:J27" si="71">H26*0.9</f>
        <v>18000</v>
      </c>
      <c r="K26" s="47">
        <v>32</v>
      </c>
      <c r="L26" s="48" t="s">
        <v>28</v>
      </c>
      <c r="M26" s="49">
        <f t="shared" ref="M26:M27" si="72">IF(L26="Sec/100m",((K26)/60/100),(IF(L26="Km/h",60/K26/1000,(IF(L26="Min/km",K26/1000,"")))))</f>
        <v>1.8749999999999999E-3</v>
      </c>
      <c r="N26" s="50">
        <f t="shared" ref="N26:N27" si="73">H26*M26</f>
        <v>37.5</v>
      </c>
      <c r="O26" s="50">
        <f t="shared" ref="O26:O27" si="74">N26*1.25</f>
        <v>46.875</v>
      </c>
      <c r="P26" s="51">
        <f t="shared" si="47"/>
        <v>52.5</v>
      </c>
      <c r="Q26" s="50">
        <f>O22</f>
        <v>23.4375</v>
      </c>
      <c r="R26" s="52">
        <f t="shared" ref="R26:R27" si="75">N26/M26</f>
        <v>20000</v>
      </c>
      <c r="S26" s="52">
        <f t="shared" ref="S26" si="76">O26/M26</f>
        <v>25000</v>
      </c>
      <c r="T26" s="52">
        <f t="shared" ref="T26" si="77">P26/M26</f>
        <v>28000</v>
      </c>
      <c r="U26" s="67">
        <f>S22</f>
        <v>12500</v>
      </c>
      <c r="V26" s="45">
        <f ca="1">VLOOKUP(F26,AGE!F:J,4,FALSE)</f>
        <v>2003</v>
      </c>
      <c r="W26" s="45">
        <f ca="1">VLOOKUP(F26,AGE!F:J,5,FALSE)</f>
        <v>1920</v>
      </c>
      <c r="Y26" s="33">
        <f t="shared" si="0"/>
        <v>0</v>
      </c>
    </row>
    <row r="27" spans="1:25" ht="15.75" customHeight="1" x14ac:dyDescent="0.3">
      <c r="A27" s="33">
        <v>10</v>
      </c>
      <c r="B27" s="33">
        <v>60</v>
      </c>
      <c r="C27" s="33">
        <v>3</v>
      </c>
      <c r="D27" s="34" t="str">
        <f t="shared" si="1"/>
        <v>10603</v>
      </c>
      <c r="E27" s="33" t="s">
        <v>2</v>
      </c>
      <c r="F27" s="44" t="s">
        <v>19</v>
      </c>
      <c r="G27" s="45" t="s">
        <v>10</v>
      </c>
      <c r="H27" s="46">
        <v>5000</v>
      </c>
      <c r="I27" s="47">
        <f t="shared" si="70"/>
        <v>5500</v>
      </c>
      <c r="J27" s="47">
        <f t="shared" si="71"/>
        <v>4500</v>
      </c>
      <c r="K27" s="68">
        <v>4.5</v>
      </c>
      <c r="L27" s="48" t="s">
        <v>32</v>
      </c>
      <c r="M27" s="49">
        <f t="shared" si="72"/>
        <v>4.4999999999999997E-3</v>
      </c>
      <c r="N27" s="50">
        <f t="shared" si="73"/>
        <v>22.5</v>
      </c>
      <c r="O27" s="50">
        <f t="shared" si="74"/>
        <v>28.125</v>
      </c>
      <c r="P27" s="51">
        <f t="shared" si="47"/>
        <v>31.499999999999996</v>
      </c>
      <c r="Q27" s="50">
        <f t="shared" ref="Q27" si="78">O23</f>
        <v>14.0625</v>
      </c>
      <c r="R27" s="52">
        <f t="shared" si="75"/>
        <v>5000</v>
      </c>
      <c r="S27" s="52">
        <f>O27/M27</f>
        <v>6250.0000000000009</v>
      </c>
      <c r="T27" s="52">
        <f>P27/M27</f>
        <v>7000</v>
      </c>
      <c r="U27" s="67">
        <f>S23</f>
        <v>3125.0000000000005</v>
      </c>
      <c r="V27" s="45">
        <f ca="1">VLOOKUP(F27,AGE!F:J,4,FALSE)</f>
        <v>2003</v>
      </c>
      <c r="W27" s="45">
        <f ca="1">VLOOKUP(F27,AGE!F:J,5,FALSE)</f>
        <v>1920</v>
      </c>
      <c r="Y27" s="33">
        <f t="shared" si="0"/>
        <v>0</v>
      </c>
    </row>
    <row r="28" spans="1:25" ht="15.75" customHeight="1" x14ac:dyDescent="0.3">
      <c r="A28" s="33">
        <v>10</v>
      </c>
      <c r="B28" s="33">
        <v>60</v>
      </c>
      <c r="C28" s="33">
        <v>4</v>
      </c>
      <c r="D28" s="34" t="str">
        <f t="shared" si="1"/>
        <v>10604</v>
      </c>
      <c r="E28" s="33" t="s">
        <v>2</v>
      </c>
      <c r="F28" s="44" t="s">
        <v>19</v>
      </c>
      <c r="G28" s="55" t="s">
        <v>25</v>
      </c>
      <c r="H28" s="56">
        <f>SUM(H25:H27)</f>
        <v>25750</v>
      </c>
      <c r="I28" s="57">
        <f t="shared" ref="I28" si="79">SUM(I25:I27)</f>
        <v>28325</v>
      </c>
      <c r="J28" s="57">
        <f t="shared" ref="J28" si="80">SUM(J25:J27)</f>
        <v>23175</v>
      </c>
      <c r="K28" s="57"/>
      <c r="L28" s="58"/>
      <c r="M28" s="59"/>
      <c r="N28" s="60">
        <f t="shared" ref="N28" si="81">SUM(N25:N27)</f>
        <v>73.125</v>
      </c>
      <c r="O28" s="61">
        <f t="shared" ref="O28" si="82">SUM(O25:O27)</f>
        <v>91.40625</v>
      </c>
      <c r="P28" s="62"/>
      <c r="Q28" s="62">
        <f t="shared" ref="Q28" si="83">SUM(Q25:Q27)</f>
        <v>46.25</v>
      </c>
      <c r="R28" s="64">
        <f>SUM(R25:R27)</f>
        <v>25750</v>
      </c>
      <c r="S28" s="64">
        <f>SUM(S25:S27)</f>
        <v>32187.5</v>
      </c>
      <c r="T28" s="65"/>
      <c r="U28" s="66">
        <f>SUM(U25:U27)</f>
        <v>16125</v>
      </c>
      <c r="V28" s="45">
        <f ca="1">VLOOKUP(F28,AGE!F:J,4,FALSE)</f>
        <v>2003</v>
      </c>
      <c r="W28" s="45">
        <f ca="1">VLOOKUP(F28,AGE!F:J,5,FALSE)</f>
        <v>1920</v>
      </c>
      <c r="Y28" s="33">
        <f t="shared" si="0"/>
        <v>0</v>
      </c>
    </row>
    <row r="29" spans="1:25" ht="15.75" customHeight="1" x14ac:dyDescent="0.3">
      <c r="A29" s="33">
        <v>10</v>
      </c>
      <c r="B29" s="33">
        <v>70</v>
      </c>
      <c r="C29" s="33">
        <v>1</v>
      </c>
      <c r="D29" s="34" t="str">
        <f t="shared" si="1"/>
        <v>10701</v>
      </c>
      <c r="E29" s="33" t="s">
        <v>2</v>
      </c>
      <c r="F29" s="44" t="s">
        <v>20</v>
      </c>
      <c r="G29" s="45" t="s">
        <v>8</v>
      </c>
      <c r="H29" s="46">
        <v>1500</v>
      </c>
      <c r="I29" s="47">
        <f>H29*1.1</f>
        <v>1650.0000000000002</v>
      </c>
      <c r="J29" s="47">
        <f>H29*0.9</f>
        <v>1350</v>
      </c>
      <c r="K29" s="47">
        <v>105</v>
      </c>
      <c r="L29" s="48" t="s">
        <v>31</v>
      </c>
      <c r="M29" s="49">
        <f>IF(L29="Sec/100m",((K29)/60/100),(IF(L29="Km/h",60/K29/1000,(IF(L29="Min/km",K29/1000,"")))))</f>
        <v>1.7500000000000002E-2</v>
      </c>
      <c r="N29" s="50">
        <f>H29*M29</f>
        <v>26.250000000000004</v>
      </c>
      <c r="O29" s="50">
        <f>N29*1.25</f>
        <v>32.812500000000007</v>
      </c>
      <c r="P29" s="51">
        <f t="shared" si="47"/>
        <v>36.75</v>
      </c>
      <c r="Q29" s="50">
        <f>O25</f>
        <v>16.406250000000004</v>
      </c>
      <c r="R29" s="52">
        <f>N29/M29</f>
        <v>1500</v>
      </c>
      <c r="S29" s="52">
        <f>O29/M29</f>
        <v>1875.0000000000002</v>
      </c>
      <c r="T29" s="52">
        <f>P29/M29</f>
        <v>2100</v>
      </c>
      <c r="U29" s="67">
        <f>S25</f>
        <v>937.50000000000011</v>
      </c>
      <c r="V29" s="45">
        <f ca="1">VLOOKUP(F29,AGE!F:J,4,FALSE)</f>
        <v>2001</v>
      </c>
      <c r="W29" s="45">
        <f ca="1">VLOOKUP(F29,AGE!F:J,5,FALSE)</f>
        <v>1920</v>
      </c>
      <c r="Y29" s="33">
        <f t="shared" si="0"/>
        <v>0</v>
      </c>
    </row>
    <row r="30" spans="1:25" ht="15.75" customHeight="1" x14ac:dyDescent="0.3">
      <c r="A30" s="33">
        <v>10</v>
      </c>
      <c r="B30" s="33">
        <v>70</v>
      </c>
      <c r="C30" s="33">
        <v>2</v>
      </c>
      <c r="D30" s="34" t="str">
        <f t="shared" si="1"/>
        <v>10702</v>
      </c>
      <c r="E30" s="33" t="s">
        <v>2</v>
      </c>
      <c r="F30" s="44" t="s">
        <v>20</v>
      </c>
      <c r="G30" s="54" t="s">
        <v>13</v>
      </c>
      <c r="H30" s="46">
        <v>40000</v>
      </c>
      <c r="I30" s="47">
        <f t="shared" ref="I30:I31" si="84">H30*1.1</f>
        <v>44000</v>
      </c>
      <c r="J30" s="47">
        <f t="shared" ref="J30:J31" si="85">H30*0.9</f>
        <v>36000</v>
      </c>
      <c r="K30" s="47">
        <v>32</v>
      </c>
      <c r="L30" s="48" t="s">
        <v>28</v>
      </c>
      <c r="M30" s="49">
        <f t="shared" ref="M30:M31" si="86">IF(L30="Sec/100m",((K30)/60/100),(IF(L30="Km/h",60/K30/1000,(IF(L30="Min/km",K30/1000,"")))))</f>
        <v>1.8749999999999999E-3</v>
      </c>
      <c r="N30" s="50">
        <f t="shared" ref="N30:N31" si="87">H30*M30</f>
        <v>75</v>
      </c>
      <c r="O30" s="50">
        <f t="shared" ref="O30:O31" si="88">N30*1.25</f>
        <v>93.75</v>
      </c>
      <c r="P30" s="51">
        <f t="shared" si="47"/>
        <v>105</v>
      </c>
      <c r="Q30" s="50">
        <f t="shared" ref="Q30:Q31" si="89">O26</f>
        <v>46.875</v>
      </c>
      <c r="R30" s="52">
        <f t="shared" ref="R30:R31" si="90">N30/M30</f>
        <v>40000</v>
      </c>
      <c r="S30" s="52">
        <f t="shared" ref="S30:S31" si="91">O30/M30</f>
        <v>50000</v>
      </c>
      <c r="T30" s="52">
        <f t="shared" ref="T30:T31" si="92">P30/M30</f>
        <v>56000</v>
      </c>
      <c r="U30" s="67">
        <f>S26</f>
        <v>25000</v>
      </c>
      <c r="V30" s="45">
        <f ca="1">VLOOKUP(F30,AGE!F:J,4,FALSE)</f>
        <v>2001</v>
      </c>
      <c r="W30" s="45">
        <f ca="1">VLOOKUP(F30,AGE!F:J,5,FALSE)</f>
        <v>1920</v>
      </c>
      <c r="Y30" s="33">
        <f t="shared" si="0"/>
        <v>0</v>
      </c>
    </row>
    <row r="31" spans="1:25" ht="15.75" customHeight="1" x14ac:dyDescent="0.3">
      <c r="A31" s="33">
        <v>10</v>
      </c>
      <c r="B31" s="33">
        <v>70</v>
      </c>
      <c r="C31" s="33">
        <v>3</v>
      </c>
      <c r="D31" s="34" t="str">
        <f t="shared" si="1"/>
        <v>10703</v>
      </c>
      <c r="E31" s="33" t="s">
        <v>2</v>
      </c>
      <c r="F31" s="44" t="s">
        <v>20</v>
      </c>
      <c r="G31" s="45" t="s">
        <v>10</v>
      </c>
      <c r="H31" s="46">
        <v>10000</v>
      </c>
      <c r="I31" s="47">
        <f t="shared" si="84"/>
        <v>11000</v>
      </c>
      <c r="J31" s="47">
        <f t="shared" si="85"/>
        <v>9000</v>
      </c>
      <c r="K31" s="68">
        <v>4.5</v>
      </c>
      <c r="L31" s="48" t="s">
        <v>32</v>
      </c>
      <c r="M31" s="49">
        <f t="shared" si="86"/>
        <v>4.4999999999999997E-3</v>
      </c>
      <c r="N31" s="50">
        <f t="shared" si="87"/>
        <v>45</v>
      </c>
      <c r="O31" s="50">
        <f t="shared" si="88"/>
        <v>56.25</v>
      </c>
      <c r="P31" s="51">
        <f t="shared" si="47"/>
        <v>62.999999999999993</v>
      </c>
      <c r="Q31" s="50">
        <f t="shared" si="89"/>
        <v>28.125</v>
      </c>
      <c r="R31" s="52">
        <f t="shared" si="90"/>
        <v>10000</v>
      </c>
      <c r="S31" s="52">
        <f t="shared" si="91"/>
        <v>12500.000000000002</v>
      </c>
      <c r="T31" s="52">
        <f t="shared" si="92"/>
        <v>14000</v>
      </c>
      <c r="U31" s="67">
        <f>S27</f>
        <v>6250.0000000000009</v>
      </c>
      <c r="V31" s="45">
        <f ca="1">VLOOKUP(F31,AGE!F:J,4,FALSE)</f>
        <v>2001</v>
      </c>
      <c r="W31" s="45">
        <f ca="1">VLOOKUP(F31,AGE!F:J,5,FALSE)</f>
        <v>1920</v>
      </c>
      <c r="Y31" s="33">
        <f t="shared" si="0"/>
        <v>0</v>
      </c>
    </row>
    <row r="32" spans="1:25" ht="15.75" customHeight="1" x14ac:dyDescent="0.3">
      <c r="A32" s="33">
        <v>10</v>
      </c>
      <c r="B32" s="33">
        <v>70</v>
      </c>
      <c r="C32" s="33">
        <v>4</v>
      </c>
      <c r="D32" s="34" t="str">
        <f t="shared" si="1"/>
        <v>10704</v>
      </c>
      <c r="E32" s="33" t="s">
        <v>2</v>
      </c>
      <c r="F32" s="44" t="s">
        <v>20</v>
      </c>
      <c r="G32" s="55" t="s">
        <v>25</v>
      </c>
      <c r="H32" s="56">
        <f>SUM(H29:H31)</f>
        <v>51500</v>
      </c>
      <c r="I32" s="57">
        <f t="shared" ref="I32" si="93">SUM(I29:I31)</f>
        <v>56650</v>
      </c>
      <c r="J32" s="57">
        <f t="shared" ref="J32" si="94">SUM(J29:J31)</f>
        <v>46350</v>
      </c>
      <c r="K32" s="57"/>
      <c r="L32" s="58"/>
      <c r="M32" s="59"/>
      <c r="N32" s="60">
        <f t="shared" ref="N32" si="95">SUM(N29:N31)</f>
        <v>146.25</v>
      </c>
      <c r="O32" s="61">
        <f t="shared" ref="O32" si="96">SUM(O29:O31)</f>
        <v>182.8125</v>
      </c>
      <c r="P32" s="62"/>
      <c r="Q32" s="62">
        <f t="shared" ref="Q32" si="97">SUM(Q29:Q31)</f>
        <v>91.40625</v>
      </c>
      <c r="R32" s="64">
        <f>SUM(R29:R31)</f>
        <v>51500</v>
      </c>
      <c r="S32" s="64">
        <f>SUM(S29:S31)</f>
        <v>64375</v>
      </c>
      <c r="T32" s="65"/>
      <c r="U32" s="66">
        <f>SUM(U29:U31)</f>
        <v>32187.5</v>
      </c>
      <c r="V32" s="45">
        <f ca="1">VLOOKUP(F32,AGE!F:J,4,FALSE)</f>
        <v>2001</v>
      </c>
      <c r="W32" s="45">
        <f ca="1">VLOOKUP(F32,AGE!F:J,5,FALSE)</f>
        <v>1920</v>
      </c>
      <c r="Y32" s="33">
        <f t="shared" si="0"/>
        <v>0</v>
      </c>
    </row>
    <row r="33" spans="1:26" ht="15.75" customHeight="1" x14ac:dyDescent="0.3">
      <c r="A33" s="33">
        <v>10</v>
      </c>
      <c r="B33" s="33">
        <v>80</v>
      </c>
      <c r="C33" s="33">
        <v>1</v>
      </c>
      <c r="D33" s="34" t="str">
        <f t="shared" si="1"/>
        <v>10801</v>
      </c>
      <c r="E33" s="33" t="s">
        <v>2</v>
      </c>
      <c r="F33" s="44" t="s">
        <v>21</v>
      </c>
      <c r="G33" s="45" t="s">
        <v>8</v>
      </c>
      <c r="H33" s="46">
        <v>3000</v>
      </c>
      <c r="I33" s="47">
        <f>H33*1.1</f>
        <v>3300.0000000000005</v>
      </c>
      <c r="J33" s="47">
        <f>H33*0.9</f>
        <v>2700</v>
      </c>
      <c r="K33" s="47">
        <v>105</v>
      </c>
      <c r="L33" s="48" t="s">
        <v>31</v>
      </c>
      <c r="M33" s="49">
        <f>IF(L33="Sec/100m",((K33)/60/100),(IF(L33="Km/h",60/K33/1000,(IF(L33="Min/km",K33/1000,"")))))</f>
        <v>1.7500000000000002E-2</v>
      </c>
      <c r="N33" s="50">
        <f>H33*M33</f>
        <v>52.500000000000007</v>
      </c>
      <c r="O33" s="50">
        <f>N33*1.25</f>
        <v>65.625000000000014</v>
      </c>
      <c r="P33" s="51"/>
      <c r="Q33" s="50">
        <f>O29</f>
        <v>32.812500000000007</v>
      </c>
      <c r="R33" s="52">
        <f>N33/M33</f>
        <v>3000</v>
      </c>
      <c r="S33" s="52">
        <f>O33/M33</f>
        <v>3750.0000000000005</v>
      </c>
      <c r="T33" s="52">
        <f>P33/M33</f>
        <v>0</v>
      </c>
      <c r="U33" s="67">
        <f>S29</f>
        <v>1875.0000000000002</v>
      </c>
      <c r="V33" s="45">
        <f ca="1">VLOOKUP(F33,AGE!F:J,4,FALSE)</f>
        <v>2001</v>
      </c>
      <c r="W33" s="45">
        <f ca="1">VLOOKUP(F33,AGE!F:J,5,FALSE)</f>
        <v>1920</v>
      </c>
      <c r="Y33" s="33">
        <f t="shared" si="0"/>
        <v>0</v>
      </c>
    </row>
    <row r="34" spans="1:26" ht="15.75" customHeight="1" x14ac:dyDescent="0.3">
      <c r="A34" s="33">
        <v>10</v>
      </c>
      <c r="B34" s="33">
        <v>80</v>
      </c>
      <c r="C34" s="33">
        <v>2</v>
      </c>
      <c r="D34" s="34" t="str">
        <f t="shared" si="1"/>
        <v>10802</v>
      </c>
      <c r="E34" s="33" t="s">
        <v>2</v>
      </c>
      <c r="F34" s="44" t="s">
        <v>21</v>
      </c>
      <c r="G34" s="54" t="s">
        <v>13</v>
      </c>
      <c r="H34" s="46">
        <v>80000</v>
      </c>
      <c r="I34" s="47">
        <f t="shared" ref="I34:I35" si="98">H34*1.1</f>
        <v>88000</v>
      </c>
      <c r="J34" s="47">
        <f t="shared" ref="J34:J35" si="99">H34*0.9</f>
        <v>72000</v>
      </c>
      <c r="K34" s="47">
        <v>32</v>
      </c>
      <c r="L34" s="48" t="s">
        <v>28</v>
      </c>
      <c r="M34" s="49">
        <f t="shared" ref="M34:M35" si="100">IF(L34="Sec/100m",((K34)/60/100),(IF(L34="Km/h",60/K34/1000,(IF(L34="Min/km",K34/1000,"")))))</f>
        <v>1.8749999999999999E-3</v>
      </c>
      <c r="N34" s="50">
        <f t="shared" ref="N34:N35" si="101">H34*M34</f>
        <v>150</v>
      </c>
      <c r="O34" s="50">
        <f t="shared" ref="O34:O35" si="102">N34*1.25</f>
        <v>187.5</v>
      </c>
      <c r="P34" s="51"/>
      <c r="Q34" s="50">
        <f t="shared" ref="Q34:Q35" si="103">O30</f>
        <v>93.75</v>
      </c>
      <c r="R34" s="52">
        <f t="shared" ref="R34:R35" si="104">N34/M34</f>
        <v>80000</v>
      </c>
      <c r="S34" s="52">
        <f t="shared" ref="S34:S35" si="105">O34/M34</f>
        <v>100000</v>
      </c>
      <c r="T34" s="52">
        <f t="shared" ref="T34:T35" si="106">P34/M34</f>
        <v>0</v>
      </c>
      <c r="U34" s="67">
        <f>S30</f>
        <v>50000</v>
      </c>
      <c r="V34" s="45">
        <f ca="1">VLOOKUP(F34,AGE!F:J,4,FALSE)</f>
        <v>2001</v>
      </c>
      <c r="W34" s="45">
        <f ca="1">VLOOKUP(F34,AGE!F:J,5,FALSE)</f>
        <v>1920</v>
      </c>
      <c r="Y34" s="33">
        <f t="shared" si="0"/>
        <v>0</v>
      </c>
    </row>
    <row r="35" spans="1:26" ht="15.75" customHeight="1" x14ac:dyDescent="0.3">
      <c r="A35" s="33">
        <v>10</v>
      </c>
      <c r="B35" s="33">
        <v>80</v>
      </c>
      <c r="C35" s="33">
        <v>3</v>
      </c>
      <c r="D35" s="34" t="str">
        <f t="shared" si="1"/>
        <v>10803</v>
      </c>
      <c r="E35" s="33" t="s">
        <v>2</v>
      </c>
      <c r="F35" s="44" t="s">
        <v>21</v>
      </c>
      <c r="G35" s="45" t="s">
        <v>10</v>
      </c>
      <c r="H35" s="46">
        <v>20000</v>
      </c>
      <c r="I35" s="47">
        <f t="shared" si="98"/>
        <v>22000</v>
      </c>
      <c r="J35" s="47">
        <f t="shared" si="99"/>
        <v>18000</v>
      </c>
      <c r="K35" s="68">
        <v>4.5</v>
      </c>
      <c r="L35" s="48" t="s">
        <v>32</v>
      </c>
      <c r="M35" s="49">
        <f t="shared" si="100"/>
        <v>4.4999999999999997E-3</v>
      </c>
      <c r="N35" s="50">
        <f t="shared" si="101"/>
        <v>90</v>
      </c>
      <c r="O35" s="50">
        <f t="shared" si="102"/>
        <v>112.5</v>
      </c>
      <c r="P35" s="51"/>
      <c r="Q35" s="50">
        <f t="shared" si="103"/>
        <v>56.25</v>
      </c>
      <c r="R35" s="52">
        <f t="shared" si="104"/>
        <v>20000</v>
      </c>
      <c r="S35" s="52">
        <f t="shared" si="105"/>
        <v>25000.000000000004</v>
      </c>
      <c r="T35" s="52">
        <f t="shared" si="106"/>
        <v>0</v>
      </c>
      <c r="U35" s="67">
        <f>S31</f>
        <v>12500.000000000002</v>
      </c>
      <c r="V35" s="45">
        <f ca="1">VLOOKUP(F35,AGE!F:J,4,FALSE)</f>
        <v>2001</v>
      </c>
      <c r="W35" s="45">
        <f ca="1">VLOOKUP(F35,AGE!F:J,5,FALSE)</f>
        <v>1920</v>
      </c>
      <c r="Y35" s="33">
        <f t="shared" si="0"/>
        <v>0</v>
      </c>
    </row>
    <row r="36" spans="1:26" ht="15.75" customHeight="1" x14ac:dyDescent="0.3">
      <c r="A36" s="33">
        <v>10</v>
      </c>
      <c r="B36" s="33">
        <v>80</v>
      </c>
      <c r="C36" s="33">
        <v>4</v>
      </c>
      <c r="D36" s="34" t="str">
        <f t="shared" si="1"/>
        <v>10804</v>
      </c>
      <c r="E36" s="33" t="s">
        <v>2</v>
      </c>
      <c r="F36" s="44" t="s">
        <v>21</v>
      </c>
      <c r="G36" s="55" t="s">
        <v>25</v>
      </c>
      <c r="H36" s="56">
        <f>SUM(H33:H35)</f>
        <v>103000</v>
      </c>
      <c r="I36" s="57">
        <f t="shared" ref="I36" si="107">SUM(I33:I35)</f>
        <v>113300</v>
      </c>
      <c r="J36" s="57">
        <f t="shared" ref="J36" si="108">SUM(J33:J35)</f>
        <v>92700</v>
      </c>
      <c r="K36" s="57"/>
      <c r="L36" s="58"/>
      <c r="M36" s="59"/>
      <c r="N36" s="60">
        <f t="shared" ref="N36" si="109">SUM(N33:N35)</f>
        <v>292.5</v>
      </c>
      <c r="O36" s="61">
        <f t="shared" ref="O36" si="110">SUM(O33:O35)</f>
        <v>365.625</v>
      </c>
      <c r="P36" s="62"/>
      <c r="Q36" s="62">
        <f t="shared" ref="Q36" si="111">SUM(Q33:Q35)</f>
        <v>182.8125</v>
      </c>
      <c r="R36" s="64">
        <f>SUM(R33:R35)</f>
        <v>103000</v>
      </c>
      <c r="S36" s="64">
        <f>SUM(S33:S35)</f>
        <v>128750</v>
      </c>
      <c r="T36" s="65"/>
      <c r="U36" s="66">
        <f>SUM(U33:U35)</f>
        <v>64375</v>
      </c>
      <c r="V36" s="45">
        <f ca="1">VLOOKUP(F36,AGE!F:J,4,FALSE)</f>
        <v>2001</v>
      </c>
      <c r="W36" s="45">
        <f ca="1">VLOOKUP(F36,AGE!F:J,5,FALSE)</f>
        <v>1920</v>
      </c>
      <c r="Y36" s="33">
        <f t="shared" si="0"/>
        <v>0</v>
      </c>
    </row>
    <row r="37" spans="1:26" ht="15.75" customHeight="1" x14ac:dyDescent="0.3">
      <c r="A37" s="33">
        <v>10</v>
      </c>
      <c r="B37" s="33">
        <v>90</v>
      </c>
      <c r="C37" s="33">
        <v>1</v>
      </c>
      <c r="D37" s="34" t="str">
        <f t="shared" si="1"/>
        <v>10901</v>
      </c>
      <c r="E37" s="33" t="s">
        <v>2</v>
      </c>
      <c r="F37" s="44" t="s">
        <v>22</v>
      </c>
      <c r="G37" s="45" t="s">
        <v>8</v>
      </c>
      <c r="H37" s="46">
        <v>4000</v>
      </c>
      <c r="I37" s="47">
        <f>H37*1.1</f>
        <v>4400</v>
      </c>
      <c r="J37" s="47">
        <f>H37*0.9</f>
        <v>3600</v>
      </c>
      <c r="K37" s="47">
        <v>105</v>
      </c>
      <c r="L37" s="48" t="s">
        <v>31</v>
      </c>
      <c r="M37" s="49">
        <f>IF(L37="Sec/100m",((K37)/60/100),(IF(L37="Km/h",60/K37/1000,(IF(L37="Min/km",K37/1000,"")))))</f>
        <v>1.7500000000000002E-2</v>
      </c>
      <c r="N37" s="50">
        <f>H37*M37</f>
        <v>70</v>
      </c>
      <c r="O37" s="50">
        <f>N37*1.25</f>
        <v>87.5</v>
      </c>
      <c r="P37" s="51"/>
      <c r="Q37" s="50">
        <f>O33</f>
        <v>65.625000000000014</v>
      </c>
      <c r="R37" s="52">
        <f>N37/M37</f>
        <v>3999.9999999999995</v>
      </c>
      <c r="S37" s="52">
        <f>O37/M37</f>
        <v>4999.9999999999991</v>
      </c>
      <c r="T37" s="52">
        <f>P37/M37</f>
        <v>0</v>
      </c>
      <c r="U37" s="181">
        <f>(N37*0.75)/M37</f>
        <v>2999.9999999999995</v>
      </c>
      <c r="V37" s="45">
        <f ca="1">VLOOKUP(F37,AGE!F:J,4,FALSE)</f>
        <v>2001</v>
      </c>
      <c r="W37" s="45">
        <f ca="1">VLOOKUP(F37,AGE!F:J,5,FALSE)</f>
        <v>1920</v>
      </c>
      <c r="Y37" s="33">
        <f t="shared" si="0"/>
        <v>0</v>
      </c>
    </row>
    <row r="38" spans="1:26" ht="15.75" customHeight="1" x14ac:dyDescent="0.3">
      <c r="A38" s="33">
        <v>10</v>
      </c>
      <c r="B38" s="33">
        <v>90</v>
      </c>
      <c r="C38" s="33">
        <v>2</v>
      </c>
      <c r="D38" s="34" t="str">
        <f t="shared" si="1"/>
        <v>10902</v>
      </c>
      <c r="E38" s="33" t="s">
        <v>2</v>
      </c>
      <c r="F38" s="44" t="s">
        <v>22</v>
      </c>
      <c r="G38" s="54" t="s">
        <v>13</v>
      </c>
      <c r="H38" s="46">
        <v>120000</v>
      </c>
      <c r="I38" s="47">
        <f t="shared" ref="I38:I39" si="112">H38*1.1</f>
        <v>132000</v>
      </c>
      <c r="J38" s="47">
        <f t="shared" ref="J38:J39" si="113">H38*0.9</f>
        <v>108000</v>
      </c>
      <c r="K38" s="47">
        <v>32</v>
      </c>
      <c r="L38" s="48" t="s">
        <v>28</v>
      </c>
      <c r="M38" s="49">
        <f t="shared" ref="M38:M39" si="114">IF(L38="Sec/100m",((K38)/60/100),(IF(L38="Km/h",60/K38/1000,(IF(L38="Min/km",K38/1000,"")))))</f>
        <v>1.8749999999999999E-3</v>
      </c>
      <c r="N38" s="50">
        <f t="shared" ref="N38:N39" si="115">H38*M38</f>
        <v>225</v>
      </c>
      <c r="O38" s="50">
        <f t="shared" ref="O38:O39" si="116">N38*1.25</f>
        <v>281.25</v>
      </c>
      <c r="P38" s="51"/>
      <c r="Q38" s="50">
        <f t="shared" ref="Q38:Q39" si="117">O34</f>
        <v>187.5</v>
      </c>
      <c r="R38" s="52">
        <f t="shared" ref="R38:R39" si="118">N38/M38</f>
        <v>120000</v>
      </c>
      <c r="S38" s="52">
        <f t="shared" ref="S38:S39" si="119">O38/M38</f>
        <v>150000</v>
      </c>
      <c r="T38" s="52">
        <f t="shared" ref="T38:T39" si="120">P38/M38</f>
        <v>0</v>
      </c>
      <c r="U38" s="181">
        <f t="shared" ref="U38:U39" si="121">(N38*0.75)/M38</f>
        <v>90000</v>
      </c>
      <c r="V38" s="45">
        <f ca="1">VLOOKUP(F38,AGE!F:J,4,FALSE)</f>
        <v>2001</v>
      </c>
      <c r="W38" s="45">
        <f ca="1">VLOOKUP(F38,AGE!F:J,5,FALSE)</f>
        <v>1920</v>
      </c>
      <c r="Y38" s="33">
        <f t="shared" si="0"/>
        <v>0</v>
      </c>
    </row>
    <row r="39" spans="1:26" ht="15.75" customHeight="1" x14ac:dyDescent="0.3">
      <c r="A39" s="33">
        <v>10</v>
      </c>
      <c r="B39" s="33">
        <v>90</v>
      </c>
      <c r="C39" s="33">
        <v>3</v>
      </c>
      <c r="D39" s="34" t="str">
        <f t="shared" si="1"/>
        <v>10903</v>
      </c>
      <c r="E39" s="33" t="s">
        <v>2</v>
      </c>
      <c r="F39" s="44" t="s">
        <v>22</v>
      </c>
      <c r="G39" s="45" t="s">
        <v>10</v>
      </c>
      <c r="H39" s="46">
        <v>30000</v>
      </c>
      <c r="I39" s="47">
        <f t="shared" si="112"/>
        <v>33000</v>
      </c>
      <c r="J39" s="47">
        <f t="shared" si="113"/>
        <v>27000</v>
      </c>
      <c r="K39" s="68">
        <v>4.5</v>
      </c>
      <c r="L39" s="48" t="s">
        <v>32</v>
      </c>
      <c r="M39" s="49">
        <f t="shared" si="114"/>
        <v>4.4999999999999997E-3</v>
      </c>
      <c r="N39" s="50">
        <f t="shared" si="115"/>
        <v>135</v>
      </c>
      <c r="O39" s="50">
        <f t="shared" si="116"/>
        <v>168.75</v>
      </c>
      <c r="P39" s="51"/>
      <c r="Q39" s="50">
        <f t="shared" si="117"/>
        <v>112.5</v>
      </c>
      <c r="R39" s="52">
        <f t="shared" si="118"/>
        <v>30000.000000000004</v>
      </c>
      <c r="S39" s="52">
        <f t="shared" si="119"/>
        <v>37500</v>
      </c>
      <c r="T39" s="52">
        <f t="shared" si="120"/>
        <v>0</v>
      </c>
      <c r="U39" s="181">
        <f t="shared" si="121"/>
        <v>22500</v>
      </c>
      <c r="V39" s="45">
        <f ca="1">VLOOKUP(F39,AGE!F:J,4,FALSE)</f>
        <v>2001</v>
      </c>
      <c r="W39" s="45">
        <f ca="1">VLOOKUP(F39,AGE!F:J,5,FALSE)</f>
        <v>1920</v>
      </c>
      <c r="Y39" s="33">
        <f t="shared" si="0"/>
        <v>0</v>
      </c>
    </row>
    <row r="40" spans="1:26" ht="15.75" customHeight="1" x14ac:dyDescent="0.3">
      <c r="A40" s="33">
        <v>10</v>
      </c>
      <c r="B40" s="33">
        <v>90</v>
      </c>
      <c r="C40" s="33">
        <v>4</v>
      </c>
      <c r="D40" s="34" t="str">
        <f t="shared" si="1"/>
        <v>10904</v>
      </c>
      <c r="E40" s="33" t="s">
        <v>2</v>
      </c>
      <c r="F40" s="44" t="s">
        <v>22</v>
      </c>
      <c r="G40" s="55" t="s">
        <v>25</v>
      </c>
      <c r="H40" s="56">
        <f>SUM(H37:H39)</f>
        <v>154000</v>
      </c>
      <c r="I40" s="57">
        <f t="shared" ref="I40" si="122">SUM(I37:I39)</f>
        <v>169400</v>
      </c>
      <c r="J40" s="57">
        <f t="shared" ref="J40" si="123">SUM(J37:J39)</f>
        <v>138600</v>
      </c>
      <c r="K40" s="57"/>
      <c r="L40" s="58"/>
      <c r="M40" s="59"/>
      <c r="N40" s="60">
        <f t="shared" ref="N40" si="124">SUM(N37:N39)</f>
        <v>430</v>
      </c>
      <c r="O40" s="61">
        <f t="shared" ref="O40" si="125">SUM(O37:O39)</f>
        <v>537.5</v>
      </c>
      <c r="P40" s="62"/>
      <c r="Q40" s="62">
        <f t="shared" ref="Q40" si="126">SUM(Q37:Q39)</f>
        <v>365.625</v>
      </c>
      <c r="R40" s="64">
        <f>SUM(R37:R39)</f>
        <v>154000</v>
      </c>
      <c r="S40" s="64">
        <f>SUM(S37:S39)</f>
        <v>192500</v>
      </c>
      <c r="T40" s="65"/>
      <c r="U40" s="66">
        <f>SUM(U37:U39)</f>
        <v>115500</v>
      </c>
      <c r="V40" s="45">
        <f ca="1">VLOOKUP(F40,AGE!F:J,4,FALSE)</f>
        <v>2001</v>
      </c>
      <c r="W40" s="45">
        <f ca="1">VLOOKUP(F40,AGE!F:J,5,FALSE)</f>
        <v>1920</v>
      </c>
      <c r="Y40" s="33">
        <f t="shared" si="0"/>
        <v>0</v>
      </c>
    </row>
    <row r="41" spans="1:26" x14ac:dyDescent="0.3">
      <c r="A41" s="33">
        <v>10</v>
      </c>
      <c r="B41" s="33">
        <v>91</v>
      </c>
      <c r="C41" s="33">
        <v>1</v>
      </c>
      <c r="D41" s="34" t="str">
        <f t="shared" si="1"/>
        <v>10911</v>
      </c>
      <c r="E41" s="33" t="s">
        <v>2</v>
      </c>
      <c r="F41" s="44" t="s">
        <v>38</v>
      </c>
      <c r="G41" s="45" t="s">
        <v>8</v>
      </c>
      <c r="H41" s="46">
        <v>3800</v>
      </c>
      <c r="I41" s="47">
        <f>H41*1.1</f>
        <v>4180</v>
      </c>
      <c r="J41" s="47">
        <f>H41*0.9</f>
        <v>3420</v>
      </c>
      <c r="K41" s="47">
        <v>105</v>
      </c>
      <c r="L41" s="48" t="s">
        <v>31</v>
      </c>
      <c r="M41" s="49">
        <f>IF(L41="Sec/100m",((K41)/60/100),(IF(L41="Km/h",60/K41/1000,(IF(L41="Min/km",K41/1000,"")))))</f>
        <v>1.7500000000000002E-2</v>
      </c>
      <c r="N41" s="50">
        <f>H41*M41</f>
        <v>66.5</v>
      </c>
      <c r="O41" s="50">
        <f>N41*1.25</f>
        <v>83.125</v>
      </c>
      <c r="P41" s="51"/>
      <c r="Q41" s="50">
        <f>O37</f>
        <v>87.5</v>
      </c>
      <c r="R41" s="52">
        <f>N41/M41</f>
        <v>3799.9999999999995</v>
      </c>
      <c r="S41" s="52">
        <f>O41/M41</f>
        <v>4750</v>
      </c>
      <c r="T41" s="52">
        <f>P41/M41</f>
        <v>0</v>
      </c>
      <c r="U41" s="181">
        <f>(N41*0.75)/M41</f>
        <v>2849.9999999999995</v>
      </c>
      <c r="V41" s="45">
        <f ca="1">VLOOKUP(F41,AGE!F:J,4,FALSE)</f>
        <v>2001</v>
      </c>
      <c r="W41" s="45">
        <f ca="1">VLOOKUP(F41,AGE!F:J,5,FALSE)</f>
        <v>1920</v>
      </c>
      <c r="Y41" s="33">
        <f t="shared" si="0"/>
        <v>0</v>
      </c>
      <c r="Z41" s="180"/>
    </row>
    <row r="42" spans="1:26" x14ac:dyDescent="0.3">
      <c r="A42" s="33">
        <v>10</v>
      </c>
      <c r="B42" s="33">
        <v>91</v>
      </c>
      <c r="C42" s="33">
        <v>2</v>
      </c>
      <c r="D42" s="34" t="str">
        <f t="shared" si="1"/>
        <v>10912</v>
      </c>
      <c r="E42" s="33" t="s">
        <v>2</v>
      </c>
      <c r="F42" s="44" t="s">
        <v>38</v>
      </c>
      <c r="G42" s="54" t="s">
        <v>13</v>
      </c>
      <c r="H42" s="46">
        <v>180000</v>
      </c>
      <c r="I42" s="47">
        <f t="shared" ref="I42:I43" si="127">H42*1.1</f>
        <v>198000.00000000003</v>
      </c>
      <c r="J42" s="47">
        <f t="shared" ref="J42:J43" si="128">H42*0.9</f>
        <v>162000</v>
      </c>
      <c r="K42" s="47">
        <v>32</v>
      </c>
      <c r="L42" s="48" t="s">
        <v>28</v>
      </c>
      <c r="M42" s="49">
        <f t="shared" ref="M42:M43" si="129">IF(L42="Sec/100m",((K42)/60/100),(IF(L42="Km/h",60/K42/1000,(IF(L42="Min/km",K42/1000,"")))))</f>
        <v>1.8749999999999999E-3</v>
      </c>
      <c r="N42" s="50">
        <f t="shared" ref="N42:N43" si="130">H42*M42</f>
        <v>337.5</v>
      </c>
      <c r="O42" s="50">
        <f t="shared" ref="O42:O43" si="131">N42*1.25</f>
        <v>421.875</v>
      </c>
      <c r="P42" s="51"/>
      <c r="Q42" s="50">
        <f t="shared" ref="Q42:Q43" si="132">O38</f>
        <v>281.25</v>
      </c>
      <c r="R42" s="52">
        <f t="shared" ref="R42:R43" si="133">N42/M42</f>
        <v>180000</v>
      </c>
      <c r="S42" s="52">
        <f t="shared" ref="S42:S43" si="134">O42/M42</f>
        <v>225000</v>
      </c>
      <c r="T42" s="52">
        <f t="shared" ref="T42:T43" si="135">P42/M42</f>
        <v>0</v>
      </c>
      <c r="U42" s="181">
        <f t="shared" ref="U42:U43" si="136">(N42*0.75)/M42</f>
        <v>135000</v>
      </c>
      <c r="V42" s="45">
        <f ca="1">VLOOKUP(F42,AGE!F:J,4,FALSE)</f>
        <v>2001</v>
      </c>
      <c r="W42" s="45">
        <f ca="1">VLOOKUP(F42,AGE!F:J,5,FALSE)</f>
        <v>1920</v>
      </c>
      <c r="Y42" s="33">
        <f t="shared" si="0"/>
        <v>0</v>
      </c>
    </row>
    <row r="43" spans="1:26" x14ac:dyDescent="0.3">
      <c r="A43" s="33">
        <v>10</v>
      </c>
      <c r="B43" s="33">
        <v>91</v>
      </c>
      <c r="C43" s="33">
        <v>3</v>
      </c>
      <c r="D43" s="34" t="str">
        <f t="shared" si="1"/>
        <v>10913</v>
      </c>
      <c r="E43" s="33" t="s">
        <v>2</v>
      </c>
      <c r="F43" s="44" t="s">
        <v>38</v>
      </c>
      <c r="G43" s="45" t="s">
        <v>10</v>
      </c>
      <c r="H43" s="46">
        <v>42195</v>
      </c>
      <c r="I43" s="47">
        <f t="shared" si="127"/>
        <v>46414.500000000007</v>
      </c>
      <c r="J43" s="47">
        <f t="shared" si="128"/>
        <v>37975.5</v>
      </c>
      <c r="K43" s="68">
        <v>4.5</v>
      </c>
      <c r="L43" s="48" t="s">
        <v>32</v>
      </c>
      <c r="M43" s="49">
        <f t="shared" si="129"/>
        <v>4.4999999999999997E-3</v>
      </c>
      <c r="N43" s="50">
        <f t="shared" si="130"/>
        <v>189.8775</v>
      </c>
      <c r="O43" s="50">
        <f t="shared" si="131"/>
        <v>237.34687500000001</v>
      </c>
      <c r="P43" s="51"/>
      <c r="Q43" s="50">
        <f t="shared" si="132"/>
        <v>168.75</v>
      </c>
      <c r="R43" s="52">
        <f t="shared" si="133"/>
        <v>42195</v>
      </c>
      <c r="S43" s="52">
        <f t="shared" si="134"/>
        <v>52743.750000000007</v>
      </c>
      <c r="T43" s="52">
        <f t="shared" si="135"/>
        <v>0</v>
      </c>
      <c r="U43" s="181">
        <f t="shared" si="136"/>
        <v>31646.25</v>
      </c>
      <c r="V43" s="45">
        <f ca="1">VLOOKUP(F43,AGE!F:J,4,FALSE)</f>
        <v>2001</v>
      </c>
      <c r="W43" s="45">
        <f ca="1">VLOOKUP(F43,AGE!F:J,5,FALSE)</f>
        <v>1920</v>
      </c>
      <c r="Y43" s="33">
        <f t="shared" si="0"/>
        <v>0</v>
      </c>
    </row>
    <row r="44" spans="1:26" x14ac:dyDescent="0.3">
      <c r="A44" s="33">
        <v>10</v>
      </c>
      <c r="B44" s="33">
        <v>91</v>
      </c>
      <c r="C44" s="33">
        <v>4</v>
      </c>
      <c r="D44" s="34" t="str">
        <f t="shared" si="1"/>
        <v>10914</v>
      </c>
      <c r="E44" s="33" t="s">
        <v>2</v>
      </c>
      <c r="F44" s="44" t="s">
        <v>38</v>
      </c>
      <c r="G44" s="55" t="s">
        <v>25</v>
      </c>
      <c r="H44" s="56">
        <f>SUM(H41:H43)</f>
        <v>225995</v>
      </c>
      <c r="I44" s="57">
        <f t="shared" ref="I44" si="137">SUM(I41:I43)</f>
        <v>248594.50000000003</v>
      </c>
      <c r="J44" s="57">
        <f t="shared" ref="J44" si="138">SUM(J41:J43)</f>
        <v>203395.5</v>
      </c>
      <c r="K44" s="57"/>
      <c r="L44" s="58"/>
      <c r="M44" s="59"/>
      <c r="N44" s="60">
        <f t="shared" ref="N44" si="139">SUM(N41:N43)</f>
        <v>593.87750000000005</v>
      </c>
      <c r="O44" s="61">
        <f t="shared" ref="O44" si="140">SUM(O41:O43)</f>
        <v>742.34687499999995</v>
      </c>
      <c r="P44" s="62"/>
      <c r="Q44" s="62">
        <f t="shared" ref="Q44" si="141">SUM(Q41:Q43)</f>
        <v>537.5</v>
      </c>
      <c r="R44" s="64">
        <f>SUM(R41:R43)</f>
        <v>225995</v>
      </c>
      <c r="S44" s="64">
        <f>SUM(S41:S43)</f>
        <v>282493.75</v>
      </c>
      <c r="T44" s="65"/>
      <c r="U44" s="66">
        <f>SUM(U41:U43)</f>
        <v>169496.25</v>
      </c>
      <c r="V44" s="45">
        <f ca="1">VLOOKUP(F44,AGE!F:J,4,FALSE)</f>
        <v>2001</v>
      </c>
      <c r="W44" s="45">
        <f ca="1">VLOOKUP(F44,AGE!F:J,5,FALSE)</f>
        <v>1920</v>
      </c>
      <c r="Y44" s="33">
        <f t="shared" si="0"/>
        <v>0</v>
      </c>
    </row>
    <row r="45" spans="1:26" x14ac:dyDescent="0.3">
      <c r="A45" s="33">
        <v>20</v>
      </c>
      <c r="B45" s="33">
        <v>10</v>
      </c>
      <c r="C45" s="33">
        <v>1</v>
      </c>
      <c r="D45" s="34" t="str">
        <f t="shared" si="1"/>
        <v>20101</v>
      </c>
      <c r="E45" s="33" t="s">
        <v>4</v>
      </c>
      <c r="F45" s="44" t="s">
        <v>14</v>
      </c>
      <c r="G45" s="45" t="s">
        <v>8</v>
      </c>
      <c r="H45" s="69">
        <v>50</v>
      </c>
      <c r="I45" s="47">
        <f>H45*1.1</f>
        <v>55.000000000000007</v>
      </c>
      <c r="J45" s="47">
        <f>H45*0.9</f>
        <v>45</v>
      </c>
      <c r="K45" s="47">
        <v>110</v>
      </c>
      <c r="L45" s="48" t="s">
        <v>31</v>
      </c>
      <c r="M45" s="49">
        <f>IF(L45="Sec/100m",((K45)/60/100),(IF(L45="Km/h",60/K45/1000,(IF(L45="Min/km",K45/1000,"")))))</f>
        <v>1.8333333333333333E-2</v>
      </c>
      <c r="N45" s="50">
        <f>H45*M45</f>
        <v>0.91666666666666663</v>
      </c>
      <c r="O45" s="50">
        <f>N45*1.25</f>
        <v>1.1458333333333333</v>
      </c>
      <c r="P45" s="51">
        <f>N45*1.4</f>
        <v>1.2833333333333332</v>
      </c>
      <c r="Q45" s="50">
        <f>O41</f>
        <v>83.125</v>
      </c>
      <c r="R45" s="52">
        <f>N45/M45</f>
        <v>50</v>
      </c>
      <c r="S45" s="52">
        <f>O45/M45</f>
        <v>62.499999999999993</v>
      </c>
      <c r="T45" s="52">
        <f>P45/M45</f>
        <v>70</v>
      </c>
      <c r="U45" s="53">
        <f>+R45/2</f>
        <v>25</v>
      </c>
      <c r="V45" s="45">
        <f ca="1">VLOOKUP(F45,AGE!F:J,4,FALSE)</f>
        <v>2013</v>
      </c>
      <c r="W45" s="45">
        <f ca="1">VLOOKUP(F45,AGE!F:J,5,FALSE)</f>
        <v>2010</v>
      </c>
      <c r="Y45" s="33">
        <f t="shared" si="0"/>
        <v>0</v>
      </c>
    </row>
    <row r="46" spans="1:26" x14ac:dyDescent="0.3">
      <c r="A46" s="33">
        <v>20</v>
      </c>
      <c r="B46" s="33">
        <v>10</v>
      </c>
      <c r="C46" s="33">
        <v>2</v>
      </c>
      <c r="D46" s="34" t="str">
        <f t="shared" si="1"/>
        <v>20102</v>
      </c>
      <c r="E46" s="33" t="s">
        <v>4</v>
      </c>
      <c r="F46" s="44" t="s">
        <v>14</v>
      </c>
      <c r="G46" s="54" t="s">
        <v>13</v>
      </c>
      <c r="H46" s="69">
        <v>1000</v>
      </c>
      <c r="I46" s="47">
        <f t="shared" ref="I46:I47" si="142">H46*1.1</f>
        <v>1100</v>
      </c>
      <c r="J46" s="47">
        <f t="shared" ref="J46:J47" si="143">H46*0.9</f>
        <v>900</v>
      </c>
      <c r="K46" s="47">
        <v>15</v>
      </c>
      <c r="L46" s="48" t="s">
        <v>28</v>
      </c>
      <c r="M46" s="49">
        <f t="shared" ref="M46:M47" si="144">IF(L46="Sec/100m",((K46)/60/100),(IF(L46="Km/h",60/K46/1000,(IF(L46="Min/km",K46/1000,"")))))</f>
        <v>4.0000000000000001E-3</v>
      </c>
      <c r="N46" s="50">
        <f t="shared" ref="N46:N47" si="145">H46*M46</f>
        <v>4</v>
      </c>
      <c r="O46" s="50">
        <f t="shared" ref="O46:O47" si="146">N46*1.25</f>
        <v>5</v>
      </c>
      <c r="P46" s="51">
        <f t="shared" ref="P46:P47" si="147">N46*1.4</f>
        <v>5.6</v>
      </c>
      <c r="Q46" s="50">
        <f t="shared" ref="Q46:Q47" si="148">O42</f>
        <v>421.875</v>
      </c>
      <c r="R46" s="52">
        <f t="shared" ref="R46:R47" si="149">N46/M46</f>
        <v>1000</v>
      </c>
      <c r="S46" s="52">
        <f t="shared" ref="S46:S47" si="150">O46/M46</f>
        <v>1250</v>
      </c>
      <c r="T46" s="52">
        <f t="shared" ref="T46:T47" si="151">P46/M46</f>
        <v>1399.9999999999998</v>
      </c>
      <c r="U46" s="53">
        <f>+R46/2</f>
        <v>500</v>
      </c>
      <c r="V46" s="45">
        <f ca="1">VLOOKUP(F46,AGE!F:J,4,FALSE)</f>
        <v>2013</v>
      </c>
      <c r="W46" s="45">
        <f ca="1">VLOOKUP(F46,AGE!F:J,5,FALSE)</f>
        <v>2010</v>
      </c>
      <c r="Y46" s="33">
        <f t="shared" si="0"/>
        <v>0</v>
      </c>
    </row>
    <row r="47" spans="1:26" x14ac:dyDescent="0.3">
      <c r="A47" s="33">
        <v>20</v>
      </c>
      <c r="B47" s="33">
        <v>10</v>
      </c>
      <c r="C47" s="33">
        <v>3</v>
      </c>
      <c r="D47" s="34" t="str">
        <f t="shared" si="1"/>
        <v>20103</v>
      </c>
      <c r="E47" s="33" t="s">
        <v>4</v>
      </c>
      <c r="F47" s="44" t="s">
        <v>14</v>
      </c>
      <c r="G47" s="45" t="s">
        <v>10</v>
      </c>
      <c r="H47" s="69">
        <v>500</v>
      </c>
      <c r="I47" s="47">
        <f t="shared" si="142"/>
        <v>550</v>
      </c>
      <c r="J47" s="47">
        <f t="shared" si="143"/>
        <v>450</v>
      </c>
      <c r="K47" s="68">
        <v>5</v>
      </c>
      <c r="L47" s="48" t="s">
        <v>32</v>
      </c>
      <c r="M47" s="49">
        <f t="shared" si="144"/>
        <v>5.0000000000000001E-3</v>
      </c>
      <c r="N47" s="50">
        <f t="shared" si="145"/>
        <v>2.5</v>
      </c>
      <c r="O47" s="50">
        <f t="shared" si="146"/>
        <v>3.125</v>
      </c>
      <c r="P47" s="51">
        <f t="shared" si="147"/>
        <v>3.5</v>
      </c>
      <c r="Q47" s="50">
        <f t="shared" si="148"/>
        <v>237.34687500000001</v>
      </c>
      <c r="R47" s="52">
        <f t="shared" si="149"/>
        <v>500</v>
      </c>
      <c r="S47" s="52">
        <f t="shared" si="150"/>
        <v>625</v>
      </c>
      <c r="T47" s="52">
        <f t="shared" si="151"/>
        <v>700</v>
      </c>
      <c r="U47" s="53">
        <f>+R47/2</f>
        <v>250</v>
      </c>
      <c r="V47" s="45">
        <f ca="1">VLOOKUP(F47,AGE!F:J,4,FALSE)</f>
        <v>2013</v>
      </c>
      <c r="W47" s="45">
        <f ca="1">VLOOKUP(F47,AGE!F:J,5,FALSE)</f>
        <v>2010</v>
      </c>
      <c r="Y47" s="33">
        <f t="shared" si="0"/>
        <v>0</v>
      </c>
    </row>
    <row r="48" spans="1:26" x14ac:dyDescent="0.3">
      <c r="A48" s="33">
        <v>20</v>
      </c>
      <c r="B48" s="33">
        <v>10</v>
      </c>
      <c r="C48" s="33">
        <v>4</v>
      </c>
      <c r="D48" s="34" t="str">
        <f t="shared" si="1"/>
        <v>20104</v>
      </c>
      <c r="E48" s="33" t="s">
        <v>4</v>
      </c>
      <c r="F48" s="44" t="s">
        <v>14</v>
      </c>
      <c r="G48" s="55" t="s">
        <v>25</v>
      </c>
      <c r="H48" s="56">
        <f>SUM(H45:H47)</f>
        <v>1550</v>
      </c>
      <c r="I48" s="57">
        <f t="shared" ref="I48" si="152">SUM(I45:I47)</f>
        <v>1705</v>
      </c>
      <c r="J48" s="57">
        <f t="shared" ref="J48" si="153">SUM(J45:J47)</f>
        <v>1395</v>
      </c>
      <c r="K48" s="57"/>
      <c r="L48" s="58"/>
      <c r="M48" s="63"/>
      <c r="N48" s="60">
        <f t="shared" ref="N48" si="154">SUM(N45:N47)</f>
        <v>7.416666666666667</v>
      </c>
      <c r="O48" s="61">
        <f t="shared" ref="O48" si="155">SUM(O45:O47)</f>
        <v>9.2708333333333321</v>
      </c>
      <c r="P48" s="62"/>
      <c r="Q48" s="62">
        <f t="shared" ref="Q48" si="156">SUM(Q45:Q47)</f>
        <v>742.34687499999995</v>
      </c>
      <c r="R48" s="64">
        <f>SUM(R45:R47)</f>
        <v>1550</v>
      </c>
      <c r="S48" s="64">
        <f>SUM(S45:S47)</f>
        <v>1937.5</v>
      </c>
      <c r="T48" s="65"/>
      <c r="U48" s="66">
        <f>SUM(U45:U47)</f>
        <v>775</v>
      </c>
      <c r="V48" s="45">
        <f ca="1">VLOOKUP(F48,AGE!F:J,4,FALSE)</f>
        <v>2013</v>
      </c>
      <c r="W48" s="45">
        <f ca="1">VLOOKUP(F48,AGE!F:J,5,FALSE)</f>
        <v>2010</v>
      </c>
      <c r="Y48" s="33">
        <f t="shared" si="0"/>
        <v>0</v>
      </c>
    </row>
    <row r="49" spans="1:25" x14ac:dyDescent="0.3">
      <c r="A49" s="33">
        <v>20</v>
      </c>
      <c r="B49" s="33">
        <v>20</v>
      </c>
      <c r="C49" s="33">
        <v>1</v>
      </c>
      <c r="D49" s="34" t="str">
        <f t="shared" si="1"/>
        <v>20201</v>
      </c>
      <c r="E49" s="33" t="s">
        <v>4</v>
      </c>
      <c r="F49" s="44" t="s">
        <v>15</v>
      </c>
      <c r="G49" s="45" t="s">
        <v>8</v>
      </c>
      <c r="H49" s="69">
        <v>100</v>
      </c>
      <c r="I49" s="47">
        <f>H49*1.1</f>
        <v>110.00000000000001</v>
      </c>
      <c r="J49" s="47">
        <f>H49*0.9</f>
        <v>90</v>
      </c>
      <c r="K49" s="47">
        <v>110</v>
      </c>
      <c r="L49" s="48" t="s">
        <v>31</v>
      </c>
      <c r="M49" s="49">
        <f>IF(L49="Sec/100m",((K49)/60/100),(IF(L49="Km/h",60/K49/1000,(IF(L49="Min/km",K49/1000,"")))))</f>
        <v>1.8333333333333333E-2</v>
      </c>
      <c r="N49" s="50">
        <f>H49*M49</f>
        <v>1.8333333333333333</v>
      </c>
      <c r="O49" s="50">
        <f>N49*1.25</f>
        <v>2.2916666666666665</v>
      </c>
      <c r="P49" s="51">
        <f>N49*1.4</f>
        <v>2.5666666666666664</v>
      </c>
      <c r="Q49" s="50">
        <f>O45</f>
        <v>1.1458333333333333</v>
      </c>
      <c r="R49" s="52">
        <f>N49/M49</f>
        <v>100</v>
      </c>
      <c r="S49" s="52">
        <f>O49/M49</f>
        <v>124.99999999999999</v>
      </c>
      <c r="T49" s="52">
        <f>P49/M49</f>
        <v>140</v>
      </c>
      <c r="U49" s="67">
        <f>S45</f>
        <v>62.499999999999993</v>
      </c>
      <c r="V49" s="45">
        <f ca="1">VLOOKUP(F49,AGE!F:J,4,FALSE)</f>
        <v>2011</v>
      </c>
      <c r="W49" s="45">
        <f ca="1">VLOOKUP(F49,AGE!F:J,5,FALSE)</f>
        <v>2008</v>
      </c>
      <c r="Y49" s="33">
        <f t="shared" si="0"/>
        <v>0</v>
      </c>
    </row>
    <row r="50" spans="1:25" x14ac:dyDescent="0.3">
      <c r="A50" s="33">
        <v>20</v>
      </c>
      <c r="B50" s="33">
        <v>20</v>
      </c>
      <c r="C50" s="33">
        <v>2</v>
      </c>
      <c r="D50" s="34" t="str">
        <f t="shared" si="1"/>
        <v>20202</v>
      </c>
      <c r="E50" s="33" t="s">
        <v>4</v>
      </c>
      <c r="F50" s="44" t="s">
        <v>15</v>
      </c>
      <c r="G50" s="54" t="s">
        <v>13</v>
      </c>
      <c r="H50" s="69">
        <v>2000</v>
      </c>
      <c r="I50" s="47">
        <f t="shared" ref="I50:I51" si="157">H50*1.1</f>
        <v>2200</v>
      </c>
      <c r="J50" s="47">
        <f t="shared" ref="J50:J51" si="158">H50*0.9</f>
        <v>1800</v>
      </c>
      <c r="K50" s="47">
        <v>15</v>
      </c>
      <c r="L50" s="48" t="s">
        <v>28</v>
      </c>
      <c r="M50" s="49">
        <f t="shared" ref="M50:M51" si="159">IF(L50="Sec/100m",((K50)/60/100),(IF(L50="Km/h",60/K50/1000,(IF(L50="Min/km",K50/1000,"")))))</f>
        <v>4.0000000000000001E-3</v>
      </c>
      <c r="N50" s="50">
        <f t="shared" ref="N50:N51" si="160">H50*M50</f>
        <v>8</v>
      </c>
      <c r="O50" s="50">
        <f t="shared" ref="O50:O51" si="161">N50*1.25</f>
        <v>10</v>
      </c>
      <c r="P50" s="51">
        <f t="shared" ref="P50:P51" si="162">N50*1.4</f>
        <v>11.2</v>
      </c>
      <c r="Q50" s="50">
        <f t="shared" ref="Q50:Q51" si="163">O46</f>
        <v>5</v>
      </c>
      <c r="R50" s="52">
        <f t="shared" ref="R50:R51" si="164">N50/M50</f>
        <v>2000</v>
      </c>
      <c r="S50" s="52">
        <f t="shared" ref="S50:S51" si="165">O50/M50</f>
        <v>2500</v>
      </c>
      <c r="T50" s="52">
        <f t="shared" ref="T50:T51" si="166">P50/M50</f>
        <v>2799.9999999999995</v>
      </c>
      <c r="U50" s="67">
        <f>S46</f>
        <v>1250</v>
      </c>
      <c r="V50" s="45">
        <f ca="1">VLOOKUP(F50,AGE!F:J,4,FALSE)</f>
        <v>2011</v>
      </c>
      <c r="W50" s="45">
        <f ca="1">VLOOKUP(F50,AGE!F:J,5,FALSE)</f>
        <v>2008</v>
      </c>
      <c r="Y50" s="33">
        <f t="shared" si="0"/>
        <v>0</v>
      </c>
    </row>
    <row r="51" spans="1:25" x14ac:dyDescent="0.3">
      <c r="A51" s="33">
        <v>20</v>
      </c>
      <c r="B51" s="33">
        <v>20</v>
      </c>
      <c r="C51" s="33">
        <v>3</v>
      </c>
      <c r="D51" s="34" t="str">
        <f t="shared" si="1"/>
        <v>20203</v>
      </c>
      <c r="E51" s="33" t="s">
        <v>4</v>
      </c>
      <c r="F51" s="44" t="s">
        <v>15</v>
      </c>
      <c r="G51" s="45" t="s">
        <v>10</v>
      </c>
      <c r="H51" s="69">
        <v>1000</v>
      </c>
      <c r="I51" s="47">
        <f t="shared" si="157"/>
        <v>1100</v>
      </c>
      <c r="J51" s="47">
        <f t="shared" si="158"/>
        <v>900</v>
      </c>
      <c r="K51" s="68">
        <v>5</v>
      </c>
      <c r="L51" s="48" t="s">
        <v>32</v>
      </c>
      <c r="M51" s="49">
        <f t="shared" si="159"/>
        <v>5.0000000000000001E-3</v>
      </c>
      <c r="N51" s="50">
        <f t="shared" si="160"/>
        <v>5</v>
      </c>
      <c r="O51" s="50">
        <f t="shared" si="161"/>
        <v>6.25</v>
      </c>
      <c r="P51" s="51">
        <f t="shared" si="162"/>
        <v>7</v>
      </c>
      <c r="Q51" s="50">
        <f t="shared" si="163"/>
        <v>3.125</v>
      </c>
      <c r="R51" s="52">
        <f t="shared" si="164"/>
        <v>1000</v>
      </c>
      <c r="S51" s="52">
        <f t="shared" si="165"/>
        <v>1250</v>
      </c>
      <c r="T51" s="52">
        <f t="shared" si="166"/>
        <v>1400</v>
      </c>
      <c r="U51" s="67">
        <f>S47</f>
        <v>625</v>
      </c>
      <c r="V51" s="45">
        <f ca="1">VLOOKUP(F51,AGE!F:J,4,FALSE)</f>
        <v>2011</v>
      </c>
      <c r="W51" s="45">
        <f ca="1">VLOOKUP(F51,AGE!F:J,5,FALSE)</f>
        <v>2008</v>
      </c>
      <c r="Y51" s="33">
        <f t="shared" si="0"/>
        <v>0</v>
      </c>
    </row>
    <row r="52" spans="1:25" x14ac:dyDescent="0.3">
      <c r="A52" s="33">
        <v>20</v>
      </c>
      <c r="B52" s="33">
        <v>20</v>
      </c>
      <c r="C52" s="33">
        <v>4</v>
      </c>
      <c r="D52" s="34" t="str">
        <f t="shared" si="1"/>
        <v>20204</v>
      </c>
      <c r="E52" s="33" t="s">
        <v>4</v>
      </c>
      <c r="F52" s="44" t="s">
        <v>15</v>
      </c>
      <c r="G52" s="55" t="s">
        <v>25</v>
      </c>
      <c r="H52" s="56">
        <f>SUM(H49:H51)</f>
        <v>3100</v>
      </c>
      <c r="I52" s="57">
        <f t="shared" ref="I52" si="167">SUM(I49:I51)</f>
        <v>3410</v>
      </c>
      <c r="J52" s="57">
        <f t="shared" ref="J52" si="168">SUM(J49:J51)</f>
        <v>2790</v>
      </c>
      <c r="K52" s="57"/>
      <c r="L52" s="58"/>
      <c r="M52" s="63"/>
      <c r="N52" s="60">
        <f t="shared" ref="N52" si="169">SUM(N49:N51)</f>
        <v>14.833333333333334</v>
      </c>
      <c r="O52" s="61">
        <f t="shared" ref="O52" si="170">SUM(O49:O51)</f>
        <v>18.541666666666664</v>
      </c>
      <c r="P52" s="62"/>
      <c r="Q52" s="62">
        <f t="shared" ref="Q52" si="171">SUM(Q49:Q51)</f>
        <v>9.2708333333333321</v>
      </c>
      <c r="R52" s="64">
        <f>SUM(R49:R51)</f>
        <v>3100</v>
      </c>
      <c r="S52" s="64">
        <f>SUM(S49:S51)</f>
        <v>3875</v>
      </c>
      <c r="T52" s="65"/>
      <c r="U52" s="66">
        <f>SUM(U49:U51)</f>
        <v>1937.5</v>
      </c>
      <c r="V52" s="45">
        <f ca="1">VLOOKUP(F52,AGE!F:J,4,FALSE)</f>
        <v>2011</v>
      </c>
      <c r="W52" s="45">
        <f ca="1">VLOOKUP(F52,AGE!F:J,5,FALSE)</f>
        <v>2008</v>
      </c>
      <c r="Y52" s="33">
        <f t="shared" si="0"/>
        <v>0</v>
      </c>
    </row>
    <row r="53" spans="1:25" x14ac:dyDescent="0.3">
      <c r="A53" s="33">
        <v>20</v>
      </c>
      <c r="B53" s="33">
        <v>30</v>
      </c>
      <c r="C53" s="33">
        <v>1</v>
      </c>
      <c r="D53" s="34" t="str">
        <f t="shared" si="1"/>
        <v>20301</v>
      </c>
      <c r="E53" s="33" t="s">
        <v>4</v>
      </c>
      <c r="F53" s="44" t="s">
        <v>79</v>
      </c>
      <c r="G53" s="45" t="s">
        <v>8</v>
      </c>
      <c r="H53" s="69">
        <v>200</v>
      </c>
      <c r="I53" s="47">
        <f>H53*1.1</f>
        <v>220.00000000000003</v>
      </c>
      <c r="J53" s="47">
        <f>H53*0.9</f>
        <v>180</v>
      </c>
      <c r="K53" s="47">
        <v>110</v>
      </c>
      <c r="L53" s="48" t="s">
        <v>31</v>
      </c>
      <c r="M53" s="49">
        <f>IF(L53="Sec/100m",((K53)/60/100),(IF(L53="Km/h",60/K53/1000,(IF(L53="Min/km",K53/1000,"")))))</f>
        <v>1.8333333333333333E-2</v>
      </c>
      <c r="N53" s="50">
        <f>H53*M53</f>
        <v>3.6666666666666665</v>
      </c>
      <c r="O53" s="50">
        <f>N53*1.25</f>
        <v>4.583333333333333</v>
      </c>
      <c r="P53" s="51">
        <f>N53*1.4</f>
        <v>5.1333333333333329</v>
      </c>
      <c r="Q53" s="50">
        <f>O49</f>
        <v>2.2916666666666665</v>
      </c>
      <c r="R53" s="52">
        <f>N53/M53</f>
        <v>200</v>
      </c>
      <c r="S53" s="52">
        <f>O53/M53</f>
        <v>249.99999999999997</v>
      </c>
      <c r="T53" s="52">
        <f>P53/M53</f>
        <v>280</v>
      </c>
      <c r="U53" s="67">
        <f>S49</f>
        <v>124.99999999999999</v>
      </c>
      <c r="V53" s="45">
        <f ca="1">VLOOKUP(F53,AGE!F:J,4,FALSE)</f>
        <v>2009</v>
      </c>
      <c r="W53" s="45">
        <f ca="1">VLOOKUP(F53,AGE!F:J,5,FALSE)</f>
        <v>2006</v>
      </c>
      <c r="Y53" s="33">
        <f t="shared" si="0"/>
        <v>0</v>
      </c>
    </row>
    <row r="54" spans="1:25" x14ac:dyDescent="0.3">
      <c r="A54" s="33">
        <v>20</v>
      </c>
      <c r="B54" s="33">
        <v>30</v>
      </c>
      <c r="C54" s="33">
        <v>2</v>
      </c>
      <c r="D54" s="34" t="str">
        <f t="shared" si="1"/>
        <v>20302</v>
      </c>
      <c r="E54" s="33" t="s">
        <v>4</v>
      </c>
      <c r="F54" s="44" t="s">
        <v>79</v>
      </c>
      <c r="G54" s="54" t="s">
        <v>13</v>
      </c>
      <c r="H54" s="69">
        <v>4000</v>
      </c>
      <c r="I54" s="47">
        <f t="shared" ref="I54:I55" si="172">H54*1.1</f>
        <v>4400</v>
      </c>
      <c r="J54" s="47">
        <f t="shared" ref="J54:J55" si="173">H54*0.9</f>
        <v>3600</v>
      </c>
      <c r="K54" s="47">
        <v>15</v>
      </c>
      <c r="L54" s="48" t="s">
        <v>28</v>
      </c>
      <c r="M54" s="49">
        <f t="shared" ref="M54:M55" si="174">IF(L54="Sec/100m",((K54)/60/100),(IF(L54="Km/h",60/K54/1000,(IF(L54="Min/km",K54/1000,"")))))</f>
        <v>4.0000000000000001E-3</v>
      </c>
      <c r="N54" s="50">
        <f t="shared" ref="N54:N55" si="175">H54*M54</f>
        <v>16</v>
      </c>
      <c r="O54" s="50">
        <f t="shared" ref="O54:O55" si="176">N54*1.25</f>
        <v>20</v>
      </c>
      <c r="P54" s="51">
        <f t="shared" ref="P54:P55" si="177">N54*1.4</f>
        <v>22.4</v>
      </c>
      <c r="Q54" s="50">
        <f t="shared" ref="Q54:Q55" si="178">O50</f>
        <v>10</v>
      </c>
      <c r="R54" s="52">
        <f t="shared" ref="R54:R55" si="179">N54/M54</f>
        <v>4000</v>
      </c>
      <c r="S54" s="52">
        <f t="shared" ref="S54:S55" si="180">O54/M54</f>
        <v>5000</v>
      </c>
      <c r="T54" s="52">
        <f t="shared" ref="T54:T55" si="181">P54/M54</f>
        <v>5599.9999999999991</v>
      </c>
      <c r="U54" s="67">
        <f>S50</f>
        <v>2500</v>
      </c>
      <c r="V54" s="45">
        <f ca="1">VLOOKUP(F54,AGE!F:J,4,FALSE)</f>
        <v>2009</v>
      </c>
      <c r="W54" s="45">
        <f ca="1">VLOOKUP(F54,AGE!F:J,5,FALSE)</f>
        <v>2006</v>
      </c>
      <c r="Y54" s="33">
        <f t="shared" si="0"/>
        <v>0</v>
      </c>
    </row>
    <row r="55" spans="1:25" x14ac:dyDescent="0.3">
      <c r="A55" s="33">
        <v>20</v>
      </c>
      <c r="B55" s="33">
        <v>30</v>
      </c>
      <c r="C55" s="33">
        <v>3</v>
      </c>
      <c r="D55" s="34" t="str">
        <f t="shared" si="1"/>
        <v>20303</v>
      </c>
      <c r="E55" s="33" t="s">
        <v>4</v>
      </c>
      <c r="F55" s="44" t="s">
        <v>79</v>
      </c>
      <c r="G55" s="45" t="s">
        <v>10</v>
      </c>
      <c r="H55" s="69">
        <v>1500</v>
      </c>
      <c r="I55" s="47">
        <f t="shared" si="172"/>
        <v>1650.0000000000002</v>
      </c>
      <c r="J55" s="47">
        <f t="shared" si="173"/>
        <v>1350</v>
      </c>
      <c r="K55" s="68">
        <v>5</v>
      </c>
      <c r="L55" s="48" t="s">
        <v>32</v>
      </c>
      <c r="M55" s="49">
        <f t="shared" si="174"/>
        <v>5.0000000000000001E-3</v>
      </c>
      <c r="N55" s="50">
        <f t="shared" si="175"/>
        <v>7.5</v>
      </c>
      <c r="O55" s="50">
        <f t="shared" si="176"/>
        <v>9.375</v>
      </c>
      <c r="P55" s="51">
        <f t="shared" si="177"/>
        <v>10.5</v>
      </c>
      <c r="Q55" s="50">
        <f t="shared" si="178"/>
        <v>6.25</v>
      </c>
      <c r="R55" s="52">
        <f t="shared" si="179"/>
        <v>1500</v>
      </c>
      <c r="S55" s="52">
        <f t="shared" si="180"/>
        <v>1875</v>
      </c>
      <c r="T55" s="52">
        <f t="shared" si="181"/>
        <v>2100</v>
      </c>
      <c r="U55" s="67">
        <f>S51</f>
        <v>1250</v>
      </c>
      <c r="V55" s="45">
        <f ca="1">VLOOKUP(F55,AGE!F:J,4,FALSE)</f>
        <v>2009</v>
      </c>
      <c r="W55" s="45">
        <f ca="1">VLOOKUP(F55,AGE!F:J,5,FALSE)</f>
        <v>2006</v>
      </c>
      <c r="Y55" s="33">
        <f t="shared" si="0"/>
        <v>0</v>
      </c>
    </row>
    <row r="56" spans="1:25" x14ac:dyDescent="0.3">
      <c r="A56" s="33">
        <v>20</v>
      </c>
      <c r="B56" s="33">
        <v>30</v>
      </c>
      <c r="C56" s="33">
        <v>4</v>
      </c>
      <c r="D56" s="34" t="str">
        <f t="shared" si="1"/>
        <v>20304</v>
      </c>
      <c r="E56" s="33" t="s">
        <v>4</v>
      </c>
      <c r="F56" s="44" t="s">
        <v>79</v>
      </c>
      <c r="G56" s="55" t="s">
        <v>25</v>
      </c>
      <c r="H56" s="56">
        <f>SUM(H53:H55)</f>
        <v>5700</v>
      </c>
      <c r="I56" s="57">
        <f t="shared" ref="I56" si="182">SUM(I53:I55)</f>
        <v>6270</v>
      </c>
      <c r="J56" s="57">
        <f t="shared" ref="J56" si="183">SUM(J53:J55)</f>
        <v>5130</v>
      </c>
      <c r="K56" s="57"/>
      <c r="L56" s="58"/>
      <c r="M56" s="63"/>
      <c r="N56" s="60">
        <f t="shared" ref="N56" si="184">SUM(N53:N55)</f>
        <v>27.166666666666668</v>
      </c>
      <c r="O56" s="61">
        <f t="shared" ref="O56" si="185">SUM(O53:O55)</f>
        <v>33.958333333333329</v>
      </c>
      <c r="P56" s="62"/>
      <c r="Q56" s="62">
        <f t="shared" ref="Q56" si="186">SUM(Q53:Q55)</f>
        <v>18.541666666666664</v>
      </c>
      <c r="R56" s="64">
        <f>SUM(R53:R55)</f>
        <v>5700</v>
      </c>
      <c r="S56" s="64">
        <f>SUM(S53:S55)</f>
        <v>7125</v>
      </c>
      <c r="T56" s="65"/>
      <c r="U56" s="66">
        <f>SUM(U53:U55)</f>
        <v>3875</v>
      </c>
      <c r="V56" s="45">
        <f ca="1">VLOOKUP(F56,AGE!F:J,4,FALSE)</f>
        <v>2009</v>
      </c>
      <c r="W56" s="45">
        <f ca="1">VLOOKUP(F56,AGE!F:J,5,FALSE)</f>
        <v>2006</v>
      </c>
      <c r="Y56" s="33">
        <f t="shared" si="0"/>
        <v>0</v>
      </c>
    </row>
    <row r="57" spans="1:25" x14ac:dyDescent="0.3">
      <c r="A57" s="33">
        <v>20</v>
      </c>
      <c r="B57" s="33">
        <v>40</v>
      </c>
      <c r="C57" s="33">
        <v>1</v>
      </c>
      <c r="D57" s="34" t="str">
        <f t="shared" si="1"/>
        <v>20401</v>
      </c>
      <c r="E57" s="33" t="s">
        <v>4</v>
      </c>
      <c r="F57" s="44" t="s">
        <v>17</v>
      </c>
      <c r="G57" s="45" t="s">
        <v>8</v>
      </c>
      <c r="H57" s="69">
        <v>300</v>
      </c>
      <c r="I57" s="47">
        <f>H57*1.1</f>
        <v>330</v>
      </c>
      <c r="J57" s="47">
        <f>H57*0.9</f>
        <v>270</v>
      </c>
      <c r="K57" s="47">
        <v>110</v>
      </c>
      <c r="L57" s="48" t="s">
        <v>31</v>
      </c>
      <c r="M57" s="49">
        <f>IF(L57="Sec/100m",((K57)/60/100),(IF(L57="Km/h",60/K57/1000,(IF(L57="Min/km",K57/1000,"")))))</f>
        <v>1.8333333333333333E-2</v>
      </c>
      <c r="N57" s="50">
        <f>H57*M57</f>
        <v>5.5</v>
      </c>
      <c r="O57" s="50">
        <f>N57*1.25</f>
        <v>6.875</v>
      </c>
      <c r="P57" s="51">
        <f>N57*1.4</f>
        <v>7.6999999999999993</v>
      </c>
      <c r="Q57" s="50">
        <f>O53</f>
        <v>4.583333333333333</v>
      </c>
      <c r="R57" s="52">
        <f>N57/M57</f>
        <v>300</v>
      </c>
      <c r="S57" s="52">
        <f>O57/M57</f>
        <v>375</v>
      </c>
      <c r="T57" s="52">
        <f>P57/M57</f>
        <v>419.99999999999994</v>
      </c>
      <c r="U57" s="67">
        <f>S53</f>
        <v>249.99999999999997</v>
      </c>
      <c r="V57" s="45">
        <f ca="1">VLOOKUP(F57,AGE!F:J,4,FALSE)</f>
        <v>2007</v>
      </c>
      <c r="W57" s="45">
        <f ca="1">VLOOKUP(F57,AGE!F:J,5,FALSE)</f>
        <v>2000</v>
      </c>
      <c r="Y57" s="33">
        <f t="shared" si="0"/>
        <v>0</v>
      </c>
    </row>
    <row r="58" spans="1:25" x14ac:dyDescent="0.3">
      <c r="A58" s="33">
        <v>20</v>
      </c>
      <c r="B58" s="33">
        <v>40</v>
      </c>
      <c r="C58" s="33">
        <v>2</v>
      </c>
      <c r="D58" s="34" t="str">
        <f t="shared" si="1"/>
        <v>20402</v>
      </c>
      <c r="E58" s="33" t="s">
        <v>4</v>
      </c>
      <c r="F58" s="44" t="s">
        <v>17</v>
      </c>
      <c r="G58" s="54" t="s">
        <v>13</v>
      </c>
      <c r="H58" s="69">
        <v>6000</v>
      </c>
      <c r="I58" s="47">
        <f t="shared" ref="I58:I59" si="187">H58*1.1</f>
        <v>6600.0000000000009</v>
      </c>
      <c r="J58" s="47">
        <f t="shared" ref="J58:J59" si="188">H58*0.9</f>
        <v>5400</v>
      </c>
      <c r="K58" s="47">
        <v>15</v>
      </c>
      <c r="L58" s="48" t="s">
        <v>28</v>
      </c>
      <c r="M58" s="49">
        <f t="shared" ref="M58:M59" si="189">IF(L58="Sec/100m",((K58)/60/100),(IF(L58="Km/h",60/K58/1000,(IF(L58="Min/km",K58/1000,"")))))</f>
        <v>4.0000000000000001E-3</v>
      </c>
      <c r="N58" s="50">
        <f t="shared" ref="N58:N59" si="190">H58*M58</f>
        <v>24</v>
      </c>
      <c r="O58" s="50">
        <f t="shared" ref="O58:O59" si="191">N58*1.25</f>
        <v>30</v>
      </c>
      <c r="P58" s="51">
        <f t="shared" ref="P58:P59" si="192">N58*1.4</f>
        <v>33.599999999999994</v>
      </c>
      <c r="Q58" s="50">
        <f t="shared" ref="Q58:Q59" si="193">O54</f>
        <v>20</v>
      </c>
      <c r="R58" s="52">
        <f t="shared" ref="R58:R59" si="194">N58/M58</f>
        <v>6000</v>
      </c>
      <c r="S58" s="52">
        <f t="shared" ref="S58:S59" si="195">O58/M58</f>
        <v>7500</v>
      </c>
      <c r="T58" s="52">
        <f t="shared" ref="T58:T59" si="196">P58/M58</f>
        <v>8399.9999999999982</v>
      </c>
      <c r="U58" s="67">
        <f>S54</f>
        <v>5000</v>
      </c>
      <c r="V58" s="45">
        <f ca="1">VLOOKUP(F58,AGE!F:J,4,FALSE)</f>
        <v>2007</v>
      </c>
      <c r="W58" s="45">
        <f ca="1">VLOOKUP(F58,AGE!F:J,5,FALSE)</f>
        <v>2000</v>
      </c>
      <c r="Y58" s="33">
        <f t="shared" si="0"/>
        <v>0</v>
      </c>
    </row>
    <row r="59" spans="1:25" x14ac:dyDescent="0.3">
      <c r="A59" s="33">
        <v>20</v>
      </c>
      <c r="B59" s="33">
        <v>40</v>
      </c>
      <c r="C59" s="33">
        <v>3</v>
      </c>
      <c r="D59" s="34" t="str">
        <f t="shared" si="1"/>
        <v>20403</v>
      </c>
      <c r="E59" s="33" t="s">
        <v>4</v>
      </c>
      <c r="F59" s="44" t="s">
        <v>17</v>
      </c>
      <c r="G59" s="45" t="s">
        <v>10</v>
      </c>
      <c r="H59" s="69">
        <v>2000</v>
      </c>
      <c r="I59" s="47">
        <f t="shared" si="187"/>
        <v>2200</v>
      </c>
      <c r="J59" s="47">
        <f t="shared" si="188"/>
        <v>1800</v>
      </c>
      <c r="K59" s="68">
        <v>5</v>
      </c>
      <c r="L59" s="48" t="s">
        <v>32</v>
      </c>
      <c r="M59" s="49">
        <f t="shared" si="189"/>
        <v>5.0000000000000001E-3</v>
      </c>
      <c r="N59" s="50">
        <f t="shared" si="190"/>
        <v>10</v>
      </c>
      <c r="O59" s="50">
        <f t="shared" si="191"/>
        <v>12.5</v>
      </c>
      <c r="P59" s="51">
        <f t="shared" si="192"/>
        <v>14</v>
      </c>
      <c r="Q59" s="50">
        <f t="shared" si="193"/>
        <v>9.375</v>
      </c>
      <c r="R59" s="52">
        <f t="shared" si="194"/>
        <v>2000</v>
      </c>
      <c r="S59" s="52">
        <f t="shared" si="195"/>
        <v>2500</v>
      </c>
      <c r="T59" s="52">
        <f t="shared" si="196"/>
        <v>2800</v>
      </c>
      <c r="U59" s="67">
        <f>S55</f>
        <v>1875</v>
      </c>
      <c r="V59" s="45">
        <f ca="1">VLOOKUP(F59,AGE!F:J,4,FALSE)</f>
        <v>2007</v>
      </c>
      <c r="W59" s="45">
        <f ca="1">VLOOKUP(F59,AGE!F:J,5,FALSE)</f>
        <v>2000</v>
      </c>
      <c r="Y59" s="33">
        <f t="shared" si="0"/>
        <v>0</v>
      </c>
    </row>
    <row r="60" spans="1:25" x14ac:dyDescent="0.3">
      <c r="A60" s="33">
        <v>20</v>
      </c>
      <c r="B60" s="33">
        <v>40</v>
      </c>
      <c r="C60" s="33">
        <v>4</v>
      </c>
      <c r="D60" s="34" t="str">
        <f t="shared" si="1"/>
        <v>20404</v>
      </c>
      <c r="E60" s="33" t="s">
        <v>4</v>
      </c>
      <c r="F60" s="44" t="s">
        <v>17</v>
      </c>
      <c r="G60" s="55" t="s">
        <v>25</v>
      </c>
      <c r="H60" s="56">
        <f>SUM(H57:H59)</f>
        <v>8300</v>
      </c>
      <c r="I60" s="57">
        <f t="shared" ref="I60" si="197">SUM(I57:I59)</f>
        <v>9130</v>
      </c>
      <c r="J60" s="57">
        <f t="shared" ref="J60" si="198">SUM(J57:J59)</f>
        <v>7470</v>
      </c>
      <c r="K60" s="57"/>
      <c r="L60" s="58"/>
      <c r="M60" s="63"/>
      <c r="N60" s="60">
        <f t="shared" ref="N60" si="199">SUM(N57:N59)</f>
        <v>39.5</v>
      </c>
      <c r="O60" s="61">
        <f t="shared" ref="O60" si="200">SUM(O57:O59)</f>
        <v>49.375</v>
      </c>
      <c r="P60" s="62"/>
      <c r="Q60" s="62">
        <f t="shared" ref="Q60" si="201">SUM(Q57:Q59)</f>
        <v>33.958333333333329</v>
      </c>
      <c r="R60" s="64">
        <f>SUM(R57:R59)</f>
        <v>8300</v>
      </c>
      <c r="S60" s="64">
        <f>SUM(S57:S59)</f>
        <v>10375</v>
      </c>
      <c r="T60" s="65"/>
      <c r="U60" s="66">
        <f>SUM(U57:U59)</f>
        <v>7125</v>
      </c>
      <c r="V60" s="45">
        <f ca="1">VLOOKUP(F60,AGE!F:J,4,FALSE)</f>
        <v>2007</v>
      </c>
      <c r="W60" s="45">
        <f ca="1">VLOOKUP(F60,AGE!F:J,5,FALSE)</f>
        <v>2000</v>
      </c>
      <c r="Y60" s="33">
        <f t="shared" si="0"/>
        <v>0</v>
      </c>
    </row>
    <row r="61" spans="1:25" x14ac:dyDescent="0.3">
      <c r="A61" s="33">
        <v>20</v>
      </c>
      <c r="B61" s="33">
        <v>50</v>
      </c>
      <c r="C61" s="33">
        <v>1</v>
      </c>
      <c r="D61" s="34" t="str">
        <f t="shared" si="1"/>
        <v>20501</v>
      </c>
      <c r="E61" s="33" t="s">
        <v>4</v>
      </c>
      <c r="F61" s="44" t="s">
        <v>18</v>
      </c>
      <c r="G61" s="45" t="s">
        <v>8</v>
      </c>
      <c r="H61" s="69">
        <v>250</v>
      </c>
      <c r="I61" s="47">
        <f>H61*1.1</f>
        <v>275</v>
      </c>
      <c r="J61" s="47">
        <f>H61*0.9</f>
        <v>225</v>
      </c>
      <c r="K61" s="47">
        <v>105</v>
      </c>
      <c r="L61" s="48" t="s">
        <v>31</v>
      </c>
      <c r="M61" s="49">
        <f>IF(L61="Sec/100m",((K61)/60/100),(IF(L61="Km/h",60/K61/1000,(IF(L61="Min/km",K61/1000,"")))))</f>
        <v>1.7500000000000002E-2</v>
      </c>
      <c r="N61" s="50">
        <f>H61*M61</f>
        <v>4.375</v>
      </c>
      <c r="O61" s="50">
        <f>N61*1.25</f>
        <v>5.46875</v>
      </c>
      <c r="P61" s="51">
        <f t="shared" ref="P61:P63" si="202">N61*1.4</f>
        <v>6.125</v>
      </c>
      <c r="Q61" s="50">
        <f>O57</f>
        <v>6.875</v>
      </c>
      <c r="R61" s="52">
        <f>N61/M61</f>
        <v>249.99999999999997</v>
      </c>
      <c r="S61" s="52">
        <f>O61/M61</f>
        <v>312.49999999999994</v>
      </c>
      <c r="T61" s="52">
        <f>P61/M61</f>
        <v>349.99999999999994</v>
      </c>
      <c r="U61" s="67">
        <f t="shared" ref="U61:U63" si="203">(N61*0.5)/M61</f>
        <v>124.99999999999999</v>
      </c>
      <c r="V61" s="45">
        <f ca="1">VLOOKUP(F61,AGE!F:J,4,FALSE)</f>
        <v>2007</v>
      </c>
      <c r="W61" s="45">
        <f ca="1">VLOOKUP(F61,AGE!F:J,5,FALSE)</f>
        <v>1920</v>
      </c>
      <c r="Y61" s="33">
        <f t="shared" si="0"/>
        <v>0</v>
      </c>
    </row>
    <row r="62" spans="1:25" x14ac:dyDescent="0.3">
      <c r="A62" s="33">
        <v>20</v>
      </c>
      <c r="B62" s="33">
        <v>50</v>
      </c>
      <c r="C62" s="33">
        <v>2</v>
      </c>
      <c r="D62" s="34" t="str">
        <f t="shared" si="1"/>
        <v>20502</v>
      </c>
      <c r="E62" s="33" t="s">
        <v>4</v>
      </c>
      <c r="F62" s="44" t="s">
        <v>18</v>
      </c>
      <c r="G62" s="54" t="s">
        <v>13</v>
      </c>
      <c r="H62" s="69">
        <v>5500</v>
      </c>
      <c r="I62" s="47">
        <f t="shared" ref="I62:I63" si="204">H62*1.1</f>
        <v>6050.0000000000009</v>
      </c>
      <c r="J62" s="47">
        <f t="shared" ref="J62:J63" si="205">H62*0.9</f>
        <v>4950</v>
      </c>
      <c r="K62" s="47">
        <v>15</v>
      </c>
      <c r="L62" s="48" t="s">
        <v>28</v>
      </c>
      <c r="M62" s="49">
        <f t="shared" ref="M62:M63" si="206">IF(L62="Sec/100m",((K62)/60/100),(IF(L62="Km/h",60/K62/1000,(IF(L62="Min/km",K62/1000,"")))))</f>
        <v>4.0000000000000001E-3</v>
      </c>
      <c r="N62" s="50">
        <f t="shared" ref="N62:N63" si="207">H62*M62</f>
        <v>22</v>
      </c>
      <c r="O62" s="50">
        <f t="shared" ref="O62:O63" si="208">N62*1.25</f>
        <v>27.5</v>
      </c>
      <c r="P62" s="51">
        <f t="shared" si="202"/>
        <v>30.799999999999997</v>
      </c>
      <c r="Q62" s="50">
        <f t="shared" ref="Q62:Q63" si="209">O58</f>
        <v>30</v>
      </c>
      <c r="R62" s="52">
        <f t="shared" ref="R62:R63" si="210">N62/M62</f>
        <v>5500</v>
      </c>
      <c r="S62" s="52">
        <f t="shared" ref="S62:S63" si="211">O62/M62</f>
        <v>6875</v>
      </c>
      <c r="T62" s="52">
        <f t="shared" ref="T62:T63" si="212">P62/M62</f>
        <v>7699.9999999999991</v>
      </c>
      <c r="U62" s="67">
        <f t="shared" si="203"/>
        <v>2750</v>
      </c>
      <c r="V62" s="45">
        <f ca="1">VLOOKUP(F62,AGE!F:J,4,FALSE)</f>
        <v>2007</v>
      </c>
      <c r="W62" s="45">
        <f ca="1">VLOOKUP(F62,AGE!F:J,5,FALSE)</f>
        <v>1920</v>
      </c>
      <c r="Y62" s="33">
        <f t="shared" si="0"/>
        <v>0</v>
      </c>
    </row>
    <row r="63" spans="1:25" x14ac:dyDescent="0.3">
      <c r="A63" s="33">
        <v>20</v>
      </c>
      <c r="B63" s="33">
        <v>50</v>
      </c>
      <c r="C63" s="33">
        <v>3</v>
      </c>
      <c r="D63" s="34" t="str">
        <f t="shared" si="1"/>
        <v>20503</v>
      </c>
      <c r="E63" s="33" t="s">
        <v>4</v>
      </c>
      <c r="F63" s="44" t="s">
        <v>18</v>
      </c>
      <c r="G63" s="45" t="s">
        <v>10</v>
      </c>
      <c r="H63" s="69">
        <v>2000</v>
      </c>
      <c r="I63" s="47">
        <f t="shared" si="204"/>
        <v>2200</v>
      </c>
      <c r="J63" s="47">
        <f t="shared" si="205"/>
        <v>1800</v>
      </c>
      <c r="K63" s="68">
        <v>4.5</v>
      </c>
      <c r="L63" s="48" t="s">
        <v>32</v>
      </c>
      <c r="M63" s="49">
        <f t="shared" si="206"/>
        <v>4.4999999999999997E-3</v>
      </c>
      <c r="N63" s="50">
        <f t="shared" si="207"/>
        <v>9</v>
      </c>
      <c r="O63" s="50">
        <f t="shared" si="208"/>
        <v>11.25</v>
      </c>
      <c r="P63" s="51">
        <f t="shared" si="202"/>
        <v>12.6</v>
      </c>
      <c r="Q63" s="50">
        <f t="shared" si="209"/>
        <v>12.5</v>
      </c>
      <c r="R63" s="52">
        <f t="shared" si="210"/>
        <v>2000.0000000000002</v>
      </c>
      <c r="S63" s="52">
        <f t="shared" si="211"/>
        <v>2500</v>
      </c>
      <c r="T63" s="52">
        <f t="shared" si="212"/>
        <v>2800</v>
      </c>
      <c r="U63" s="67">
        <f t="shared" si="203"/>
        <v>1000.0000000000001</v>
      </c>
      <c r="V63" s="45">
        <f ca="1">VLOOKUP(F63,AGE!F:J,4,FALSE)</f>
        <v>2007</v>
      </c>
      <c r="W63" s="45">
        <f ca="1">VLOOKUP(F63,AGE!F:J,5,FALSE)</f>
        <v>1920</v>
      </c>
      <c r="Y63" s="33">
        <f t="shared" si="0"/>
        <v>0</v>
      </c>
    </row>
    <row r="64" spans="1:25" x14ac:dyDescent="0.3">
      <c r="A64" s="33">
        <v>20</v>
      </c>
      <c r="B64" s="33">
        <v>50</v>
      </c>
      <c r="C64" s="33">
        <v>4</v>
      </c>
      <c r="D64" s="34" t="str">
        <f t="shared" si="1"/>
        <v>20504</v>
      </c>
      <c r="E64" s="33" t="s">
        <v>4</v>
      </c>
      <c r="F64" s="44" t="s">
        <v>18</v>
      </c>
      <c r="G64" s="55" t="s">
        <v>25</v>
      </c>
      <c r="H64" s="56">
        <f>SUM(H61:H63)</f>
        <v>7750</v>
      </c>
      <c r="I64" s="57">
        <f t="shared" ref="I64" si="213">SUM(I61:I63)</f>
        <v>8525</v>
      </c>
      <c r="J64" s="57">
        <f t="shared" ref="J64" si="214">SUM(J61:J63)</f>
        <v>6975</v>
      </c>
      <c r="K64" s="57"/>
      <c r="L64" s="58"/>
      <c r="M64" s="63"/>
      <c r="N64" s="60">
        <f t="shared" ref="N64" si="215">SUM(N61:N63)</f>
        <v>35.375</v>
      </c>
      <c r="O64" s="61">
        <f t="shared" ref="O64" si="216">SUM(O61:O63)</f>
        <v>44.21875</v>
      </c>
      <c r="P64" s="62"/>
      <c r="Q64" s="62">
        <f t="shared" ref="Q64" si="217">SUM(Q61:Q63)</f>
        <v>49.375</v>
      </c>
      <c r="R64" s="64">
        <f>SUM(R61:R63)</f>
        <v>7750</v>
      </c>
      <c r="S64" s="64">
        <f>SUM(S61:S63)</f>
        <v>9687.5</v>
      </c>
      <c r="T64" s="65"/>
      <c r="U64" s="66">
        <f>SUM(U61:U63)</f>
        <v>3875</v>
      </c>
      <c r="V64" s="45">
        <f ca="1">VLOOKUP(F64,AGE!F:J,4,FALSE)</f>
        <v>2007</v>
      </c>
      <c r="W64" s="45">
        <f ca="1">VLOOKUP(F64,AGE!F:J,5,FALSE)</f>
        <v>1920</v>
      </c>
      <c r="Y64" s="33">
        <f t="shared" si="0"/>
        <v>0</v>
      </c>
    </row>
    <row r="65" spans="1:25" x14ac:dyDescent="0.3">
      <c r="A65" s="33">
        <v>20</v>
      </c>
      <c r="B65" s="33">
        <v>60</v>
      </c>
      <c r="C65" s="33">
        <v>1</v>
      </c>
      <c r="D65" s="34" t="str">
        <f t="shared" si="1"/>
        <v>20601</v>
      </c>
      <c r="E65" s="33" t="s">
        <v>4</v>
      </c>
      <c r="F65" s="44" t="s">
        <v>19</v>
      </c>
      <c r="G65" s="45" t="s">
        <v>8</v>
      </c>
      <c r="H65" s="69">
        <v>500</v>
      </c>
      <c r="I65" s="47">
        <f>H65*1.1</f>
        <v>550</v>
      </c>
      <c r="J65" s="47">
        <f>H65*0.9</f>
        <v>450</v>
      </c>
      <c r="K65" s="47">
        <v>105</v>
      </c>
      <c r="L65" s="48" t="s">
        <v>31</v>
      </c>
      <c r="M65" s="49">
        <f>IF(L65="Sec/100m",((K65)/60/100),(IF(L65="Km/h",60/K65/1000,(IF(L65="Min/km",K65/1000,"")))))</f>
        <v>1.7500000000000002E-2</v>
      </c>
      <c r="N65" s="50">
        <f>H65*M65</f>
        <v>8.75</v>
      </c>
      <c r="O65" s="50">
        <f>N65*1.25</f>
        <v>10.9375</v>
      </c>
      <c r="P65" s="51">
        <f t="shared" ref="P65:P67" si="218">N65*1.4</f>
        <v>12.25</v>
      </c>
      <c r="Q65" s="50">
        <f>O61</f>
        <v>5.46875</v>
      </c>
      <c r="R65" s="52">
        <f>N65/M65</f>
        <v>499.99999999999994</v>
      </c>
      <c r="S65" s="52">
        <f>O65/M65</f>
        <v>624.99999999999989</v>
      </c>
      <c r="T65" s="52">
        <f>P65/M65</f>
        <v>699.99999999999989</v>
      </c>
      <c r="U65" s="67">
        <f>S61</f>
        <v>312.49999999999994</v>
      </c>
      <c r="V65" s="45">
        <f ca="1">VLOOKUP(F65,AGE!F:J,4,FALSE)</f>
        <v>2003</v>
      </c>
      <c r="W65" s="45">
        <f ca="1">VLOOKUP(F65,AGE!F:J,5,FALSE)</f>
        <v>1920</v>
      </c>
      <c r="Y65" s="33">
        <f t="shared" si="0"/>
        <v>0</v>
      </c>
    </row>
    <row r="66" spans="1:25" x14ac:dyDescent="0.3">
      <c r="A66" s="33">
        <v>20</v>
      </c>
      <c r="B66" s="33">
        <v>60</v>
      </c>
      <c r="C66" s="33">
        <v>2</v>
      </c>
      <c r="D66" s="34" t="str">
        <f t="shared" si="1"/>
        <v>20602</v>
      </c>
      <c r="E66" s="33" t="s">
        <v>4</v>
      </c>
      <c r="F66" s="44" t="s">
        <v>19</v>
      </c>
      <c r="G66" s="54" t="s">
        <v>13</v>
      </c>
      <c r="H66" s="69">
        <v>11000</v>
      </c>
      <c r="I66" s="47">
        <f t="shared" ref="I66:I67" si="219">H66*1.1</f>
        <v>12100.000000000002</v>
      </c>
      <c r="J66" s="47">
        <f t="shared" ref="J66:J67" si="220">H66*0.9</f>
        <v>9900</v>
      </c>
      <c r="K66" s="47">
        <v>15</v>
      </c>
      <c r="L66" s="48" t="s">
        <v>28</v>
      </c>
      <c r="M66" s="49">
        <f t="shared" ref="M66:M67" si="221">IF(L66="Sec/100m",((K66)/60/100),(IF(L66="Km/h",60/K66/1000,(IF(L66="Min/km",K66/1000,"")))))</f>
        <v>4.0000000000000001E-3</v>
      </c>
      <c r="N66" s="50">
        <f t="shared" ref="N66:N67" si="222">H66*M66</f>
        <v>44</v>
      </c>
      <c r="O66" s="50">
        <f t="shared" ref="O66:O67" si="223">N66*1.25</f>
        <v>55</v>
      </c>
      <c r="P66" s="51">
        <f t="shared" si="218"/>
        <v>61.599999999999994</v>
      </c>
      <c r="Q66" s="50">
        <f t="shared" ref="Q66:Q67" si="224">O62</f>
        <v>27.5</v>
      </c>
      <c r="R66" s="52">
        <f t="shared" ref="R66:R67" si="225">N66/M66</f>
        <v>11000</v>
      </c>
      <c r="S66" s="52">
        <f t="shared" ref="S66:S67" si="226">O66/M66</f>
        <v>13750</v>
      </c>
      <c r="T66" s="52">
        <f t="shared" ref="T66:T67" si="227">P66/M66</f>
        <v>15399.999999999998</v>
      </c>
      <c r="U66" s="67">
        <f>S62</f>
        <v>6875</v>
      </c>
      <c r="V66" s="45">
        <f ca="1">VLOOKUP(F66,AGE!F:J,4,FALSE)</f>
        <v>2003</v>
      </c>
      <c r="W66" s="45">
        <f ca="1">VLOOKUP(F66,AGE!F:J,5,FALSE)</f>
        <v>1920</v>
      </c>
      <c r="Y66" s="33">
        <f t="shared" si="0"/>
        <v>0</v>
      </c>
    </row>
    <row r="67" spans="1:25" x14ac:dyDescent="0.3">
      <c r="A67" s="33">
        <v>20</v>
      </c>
      <c r="B67" s="33">
        <v>60</v>
      </c>
      <c r="C67" s="33">
        <v>3</v>
      </c>
      <c r="D67" s="34" t="str">
        <f t="shared" si="1"/>
        <v>20603</v>
      </c>
      <c r="E67" s="33" t="s">
        <v>4</v>
      </c>
      <c r="F67" s="44" t="s">
        <v>19</v>
      </c>
      <c r="G67" s="45" t="s">
        <v>10</v>
      </c>
      <c r="H67" s="69">
        <v>4000</v>
      </c>
      <c r="I67" s="47">
        <f t="shared" si="219"/>
        <v>4400</v>
      </c>
      <c r="J67" s="47">
        <f t="shared" si="220"/>
        <v>3600</v>
      </c>
      <c r="K67" s="68">
        <v>4.5</v>
      </c>
      <c r="L67" s="48" t="s">
        <v>32</v>
      </c>
      <c r="M67" s="49">
        <f t="shared" si="221"/>
        <v>4.4999999999999997E-3</v>
      </c>
      <c r="N67" s="50">
        <f t="shared" si="222"/>
        <v>18</v>
      </c>
      <c r="O67" s="50">
        <f t="shared" si="223"/>
        <v>22.5</v>
      </c>
      <c r="P67" s="51">
        <f t="shared" si="218"/>
        <v>25.2</v>
      </c>
      <c r="Q67" s="50">
        <f t="shared" si="224"/>
        <v>11.25</v>
      </c>
      <c r="R67" s="52">
        <f t="shared" si="225"/>
        <v>4000.0000000000005</v>
      </c>
      <c r="S67" s="52">
        <f t="shared" si="226"/>
        <v>5000</v>
      </c>
      <c r="T67" s="52">
        <f t="shared" si="227"/>
        <v>5600</v>
      </c>
      <c r="U67" s="67">
        <f>S63</f>
        <v>2500</v>
      </c>
      <c r="V67" s="45">
        <f ca="1">VLOOKUP(F67,AGE!F:J,4,FALSE)</f>
        <v>2003</v>
      </c>
      <c r="W67" s="45">
        <f ca="1">VLOOKUP(F67,AGE!F:J,5,FALSE)</f>
        <v>1920</v>
      </c>
      <c r="Y67" s="33">
        <f t="shared" si="0"/>
        <v>0</v>
      </c>
    </row>
    <row r="68" spans="1:25" x14ac:dyDescent="0.3">
      <c r="A68" s="33">
        <v>20</v>
      </c>
      <c r="B68" s="33">
        <v>60</v>
      </c>
      <c r="C68" s="33">
        <v>4</v>
      </c>
      <c r="D68" s="34" t="str">
        <f t="shared" si="1"/>
        <v>20604</v>
      </c>
      <c r="E68" s="33" t="s">
        <v>4</v>
      </c>
      <c r="F68" s="44" t="s">
        <v>19</v>
      </c>
      <c r="G68" s="55" t="s">
        <v>25</v>
      </c>
      <c r="H68" s="56">
        <f>SUM(H65:H67)</f>
        <v>15500</v>
      </c>
      <c r="I68" s="57">
        <f t="shared" ref="I68" si="228">SUM(I65:I67)</f>
        <v>17050</v>
      </c>
      <c r="J68" s="57">
        <f t="shared" ref="J68" si="229">SUM(J65:J67)</f>
        <v>13950</v>
      </c>
      <c r="K68" s="57"/>
      <c r="L68" s="58"/>
      <c r="M68" s="63"/>
      <c r="N68" s="60">
        <f t="shared" ref="N68" si="230">SUM(N65:N67)</f>
        <v>70.75</v>
      </c>
      <c r="O68" s="61">
        <f t="shared" ref="O68" si="231">SUM(O65:O67)</f>
        <v>88.4375</v>
      </c>
      <c r="P68" s="62"/>
      <c r="Q68" s="62">
        <f t="shared" ref="Q68" si="232">SUM(Q65:Q67)</f>
        <v>44.21875</v>
      </c>
      <c r="R68" s="64">
        <f>SUM(R65:R67)</f>
        <v>15500</v>
      </c>
      <c r="S68" s="64">
        <f>SUM(S65:S67)</f>
        <v>19375</v>
      </c>
      <c r="T68" s="65"/>
      <c r="U68" s="66">
        <f>SUM(U65:U67)</f>
        <v>9687.5</v>
      </c>
      <c r="V68" s="45">
        <f ca="1">VLOOKUP(F68,AGE!F:J,4,FALSE)</f>
        <v>2003</v>
      </c>
      <c r="W68" s="45">
        <f ca="1">VLOOKUP(F68,AGE!F:J,5,FALSE)</f>
        <v>1920</v>
      </c>
      <c r="Y68" s="33">
        <f t="shared" si="0"/>
        <v>0</v>
      </c>
    </row>
    <row r="69" spans="1:25" x14ac:dyDescent="0.3">
      <c r="A69" s="33">
        <v>20</v>
      </c>
      <c r="B69" s="33">
        <v>70</v>
      </c>
      <c r="C69" s="33">
        <v>1</v>
      </c>
      <c r="D69" s="34" t="str">
        <f t="shared" si="1"/>
        <v>20701</v>
      </c>
      <c r="E69" s="33" t="s">
        <v>4</v>
      </c>
      <c r="F69" s="44" t="s">
        <v>20</v>
      </c>
      <c r="G69" s="45" t="s">
        <v>8</v>
      </c>
      <c r="H69" s="69">
        <v>1000</v>
      </c>
      <c r="I69" s="47">
        <f>H69*1.1</f>
        <v>1100</v>
      </c>
      <c r="J69" s="47">
        <f>H69*0.9</f>
        <v>900</v>
      </c>
      <c r="K69" s="47">
        <v>105</v>
      </c>
      <c r="L69" s="48" t="s">
        <v>31</v>
      </c>
      <c r="M69" s="49">
        <f>IF(L69="Sec/100m",((K69)/60/100),(IF(L69="Km/h",60/K69/1000,(IF(L69="Min/km",K69/1000,"")))))</f>
        <v>1.7500000000000002E-2</v>
      </c>
      <c r="N69" s="50">
        <f>H69*M69</f>
        <v>17.5</v>
      </c>
      <c r="O69" s="50">
        <f>N69*1.25</f>
        <v>21.875</v>
      </c>
      <c r="P69" s="51">
        <f t="shared" ref="P69:P71" si="233">N69*1.4</f>
        <v>24.5</v>
      </c>
      <c r="Q69" s="50">
        <f>O65</f>
        <v>10.9375</v>
      </c>
      <c r="R69" s="52">
        <f>N69/M69</f>
        <v>999.99999999999989</v>
      </c>
      <c r="S69" s="52">
        <f>O69/M69</f>
        <v>1249.9999999999998</v>
      </c>
      <c r="T69" s="52">
        <f>P69/M69</f>
        <v>1399.9999999999998</v>
      </c>
      <c r="U69" s="67">
        <f>S65</f>
        <v>624.99999999999989</v>
      </c>
      <c r="V69" s="45">
        <f ca="1">VLOOKUP(F69,AGE!F:J,4,FALSE)</f>
        <v>2001</v>
      </c>
      <c r="W69" s="45">
        <f ca="1">VLOOKUP(F69,AGE!F:J,5,FALSE)</f>
        <v>1920</v>
      </c>
      <c r="Y69" s="33">
        <f t="shared" ref="Y69:Y93" si="234">IF(U69&gt;R69,"Attention dist basse assimilée &gt; distance officielle",)</f>
        <v>0</v>
      </c>
    </row>
    <row r="70" spans="1:25" x14ac:dyDescent="0.3">
      <c r="A70" s="33">
        <v>20</v>
      </c>
      <c r="B70" s="33">
        <v>70</v>
      </c>
      <c r="C70" s="33">
        <v>2</v>
      </c>
      <c r="D70" s="34" t="str">
        <f t="shared" ref="D70:D133" si="235">CONCATENATE(A70,B70,C70)</f>
        <v>20702</v>
      </c>
      <c r="E70" s="33" t="s">
        <v>4</v>
      </c>
      <c r="F70" s="44" t="s">
        <v>20</v>
      </c>
      <c r="G70" s="54" t="s">
        <v>13</v>
      </c>
      <c r="H70" s="69">
        <v>22000</v>
      </c>
      <c r="I70" s="47">
        <f t="shared" ref="I70:I71" si="236">H70*1.1</f>
        <v>24200.000000000004</v>
      </c>
      <c r="J70" s="47">
        <f t="shared" ref="J70:J71" si="237">H70*0.9</f>
        <v>19800</v>
      </c>
      <c r="K70" s="47">
        <v>15</v>
      </c>
      <c r="L70" s="48" t="s">
        <v>28</v>
      </c>
      <c r="M70" s="49">
        <f t="shared" ref="M70:M71" si="238">IF(L70="Sec/100m",((K70)/60/100),(IF(L70="Km/h",60/K70/1000,(IF(L70="Min/km",K70/1000,"")))))</f>
        <v>4.0000000000000001E-3</v>
      </c>
      <c r="N70" s="50">
        <f t="shared" ref="N70:N71" si="239">H70*M70</f>
        <v>88</v>
      </c>
      <c r="O70" s="50">
        <f t="shared" ref="O70:O71" si="240">N70*1.25</f>
        <v>110</v>
      </c>
      <c r="P70" s="51">
        <f t="shared" si="233"/>
        <v>123.19999999999999</v>
      </c>
      <c r="Q70" s="50">
        <f t="shared" ref="Q70:Q71" si="241">O66</f>
        <v>55</v>
      </c>
      <c r="R70" s="52">
        <f t="shared" ref="R70:R71" si="242">N70/M70</f>
        <v>22000</v>
      </c>
      <c r="S70" s="52">
        <f t="shared" ref="S70:S71" si="243">O70/M70</f>
        <v>27500</v>
      </c>
      <c r="T70" s="52">
        <f t="shared" ref="T70:T71" si="244">P70/M70</f>
        <v>30799.999999999996</v>
      </c>
      <c r="U70" s="67">
        <f>S66</f>
        <v>13750</v>
      </c>
      <c r="V70" s="45">
        <f ca="1">VLOOKUP(F70,AGE!F:J,4,FALSE)</f>
        <v>2001</v>
      </c>
      <c r="W70" s="45">
        <f ca="1">VLOOKUP(F70,AGE!F:J,5,FALSE)</f>
        <v>1920</v>
      </c>
      <c r="Y70" s="33">
        <f t="shared" si="234"/>
        <v>0</v>
      </c>
    </row>
    <row r="71" spans="1:25" x14ac:dyDescent="0.3">
      <c r="A71" s="33">
        <v>20</v>
      </c>
      <c r="B71" s="33">
        <v>70</v>
      </c>
      <c r="C71" s="33">
        <v>3</v>
      </c>
      <c r="D71" s="34" t="str">
        <f t="shared" si="235"/>
        <v>20703</v>
      </c>
      <c r="E71" s="33" t="s">
        <v>4</v>
      </c>
      <c r="F71" s="44" t="s">
        <v>20</v>
      </c>
      <c r="G71" s="45" t="s">
        <v>10</v>
      </c>
      <c r="H71" s="69">
        <v>8000</v>
      </c>
      <c r="I71" s="47">
        <f t="shared" si="236"/>
        <v>8800</v>
      </c>
      <c r="J71" s="47">
        <f t="shared" si="237"/>
        <v>7200</v>
      </c>
      <c r="K71" s="68">
        <v>4.5</v>
      </c>
      <c r="L71" s="48" t="s">
        <v>32</v>
      </c>
      <c r="M71" s="49">
        <f t="shared" si="238"/>
        <v>4.4999999999999997E-3</v>
      </c>
      <c r="N71" s="50">
        <f t="shared" si="239"/>
        <v>36</v>
      </c>
      <c r="O71" s="50">
        <f t="shared" si="240"/>
        <v>45</v>
      </c>
      <c r="P71" s="51">
        <f t="shared" si="233"/>
        <v>50.4</v>
      </c>
      <c r="Q71" s="50">
        <f t="shared" si="241"/>
        <v>22.5</v>
      </c>
      <c r="R71" s="52">
        <f t="shared" si="242"/>
        <v>8000.0000000000009</v>
      </c>
      <c r="S71" s="52">
        <f t="shared" si="243"/>
        <v>10000</v>
      </c>
      <c r="T71" s="52">
        <f t="shared" si="244"/>
        <v>11200</v>
      </c>
      <c r="U71" s="67">
        <f>S67</f>
        <v>5000</v>
      </c>
      <c r="V71" s="45">
        <f ca="1">VLOOKUP(F71,AGE!F:J,4,FALSE)</f>
        <v>2001</v>
      </c>
      <c r="W71" s="45">
        <f ca="1">VLOOKUP(F71,AGE!F:J,5,FALSE)</f>
        <v>1920</v>
      </c>
      <c r="Y71" s="33">
        <f t="shared" si="234"/>
        <v>0</v>
      </c>
    </row>
    <row r="72" spans="1:25" x14ac:dyDescent="0.3">
      <c r="A72" s="33">
        <v>20</v>
      </c>
      <c r="B72" s="33">
        <v>70</v>
      </c>
      <c r="C72" s="33">
        <v>4</v>
      </c>
      <c r="D72" s="34" t="str">
        <f t="shared" si="235"/>
        <v>20704</v>
      </c>
      <c r="E72" s="33" t="s">
        <v>4</v>
      </c>
      <c r="F72" s="44" t="s">
        <v>20</v>
      </c>
      <c r="G72" s="55" t="s">
        <v>25</v>
      </c>
      <c r="H72" s="56">
        <f>SUM(H69:H71)</f>
        <v>31000</v>
      </c>
      <c r="I72" s="57">
        <f t="shared" ref="I72" si="245">SUM(I69:I71)</f>
        <v>34100</v>
      </c>
      <c r="J72" s="57">
        <f t="shared" ref="J72" si="246">SUM(J69:J71)</f>
        <v>27900</v>
      </c>
      <c r="K72" s="57"/>
      <c r="L72" s="58"/>
      <c r="M72" s="63"/>
      <c r="N72" s="60">
        <f t="shared" ref="N72" si="247">SUM(N69:N71)</f>
        <v>141.5</v>
      </c>
      <c r="O72" s="61">
        <f t="shared" ref="O72" si="248">SUM(O69:O71)</f>
        <v>176.875</v>
      </c>
      <c r="P72" s="62"/>
      <c r="Q72" s="62">
        <f t="shared" ref="Q72" si="249">SUM(Q69:Q71)</f>
        <v>88.4375</v>
      </c>
      <c r="R72" s="64">
        <f>SUM(R69:R71)</f>
        <v>31000</v>
      </c>
      <c r="S72" s="64">
        <f>SUM(S69:S71)</f>
        <v>38750</v>
      </c>
      <c r="T72" s="65"/>
      <c r="U72" s="66">
        <f>SUM(U69:U71)</f>
        <v>19375</v>
      </c>
      <c r="V72" s="45">
        <f ca="1">VLOOKUP(F72,AGE!F:J,4,FALSE)</f>
        <v>2001</v>
      </c>
      <c r="W72" s="45">
        <f ca="1">VLOOKUP(F72,AGE!F:J,5,FALSE)</f>
        <v>1920</v>
      </c>
      <c r="Y72" s="33">
        <f t="shared" si="234"/>
        <v>0</v>
      </c>
    </row>
    <row r="73" spans="1:25" x14ac:dyDescent="0.3">
      <c r="A73" s="33">
        <v>20</v>
      </c>
      <c r="B73" s="33">
        <v>80</v>
      </c>
      <c r="C73" s="33">
        <v>1</v>
      </c>
      <c r="D73" s="34" t="str">
        <f t="shared" si="235"/>
        <v>20801</v>
      </c>
      <c r="E73" s="33" t="s">
        <v>4</v>
      </c>
      <c r="F73" s="44" t="s">
        <v>21</v>
      </c>
      <c r="G73" s="45" t="s">
        <v>8</v>
      </c>
      <c r="H73" s="69">
        <v>2000</v>
      </c>
      <c r="I73" s="47">
        <f>H73*1.1</f>
        <v>2200</v>
      </c>
      <c r="J73" s="47">
        <f>H73*0.9</f>
        <v>1800</v>
      </c>
      <c r="K73" s="47">
        <v>105</v>
      </c>
      <c r="L73" s="48" t="s">
        <v>31</v>
      </c>
      <c r="M73" s="49">
        <f>IF(L73="Sec/100m",((K73)/60/100),(IF(L73="Km/h",60/K73/1000,(IF(L73="Min/km",K73/1000,"")))))</f>
        <v>1.7500000000000002E-2</v>
      </c>
      <c r="N73" s="50">
        <f>H73*M73</f>
        <v>35</v>
      </c>
      <c r="O73" s="50">
        <f>N73*1.25</f>
        <v>43.75</v>
      </c>
      <c r="P73" s="51"/>
      <c r="Q73" s="50">
        <f>O69</f>
        <v>21.875</v>
      </c>
      <c r="R73" s="52">
        <f>N73/M73</f>
        <v>1999.9999999999998</v>
      </c>
      <c r="S73" s="52">
        <f>O73/M73</f>
        <v>2499.9999999999995</v>
      </c>
      <c r="T73" s="52">
        <f>P73/M73</f>
        <v>0</v>
      </c>
      <c r="U73" s="181">
        <f>(N73*0.75)/M73</f>
        <v>1499.9999999999998</v>
      </c>
      <c r="V73" s="45">
        <f ca="1">VLOOKUP(F73,AGE!F:J,4,FALSE)</f>
        <v>2001</v>
      </c>
      <c r="W73" s="45">
        <f ca="1">VLOOKUP(F73,AGE!F:J,5,FALSE)</f>
        <v>1920</v>
      </c>
      <c r="Y73" s="33">
        <f t="shared" si="234"/>
        <v>0</v>
      </c>
    </row>
    <row r="74" spans="1:25" x14ac:dyDescent="0.3">
      <c r="A74" s="33">
        <v>20</v>
      </c>
      <c r="B74" s="33">
        <v>80</v>
      </c>
      <c r="C74" s="33">
        <v>2</v>
      </c>
      <c r="D74" s="34" t="str">
        <f t="shared" si="235"/>
        <v>20802</v>
      </c>
      <c r="E74" s="33" t="s">
        <v>4</v>
      </c>
      <c r="F74" s="44" t="s">
        <v>21</v>
      </c>
      <c r="G74" s="54" t="s">
        <v>13</v>
      </c>
      <c r="H74" s="69">
        <v>44000</v>
      </c>
      <c r="I74" s="47">
        <f t="shared" ref="I74:I75" si="250">H74*1.1</f>
        <v>48400.000000000007</v>
      </c>
      <c r="J74" s="47">
        <f t="shared" ref="J74:J75" si="251">H74*0.9</f>
        <v>39600</v>
      </c>
      <c r="K74" s="47">
        <v>15</v>
      </c>
      <c r="L74" s="48" t="s">
        <v>28</v>
      </c>
      <c r="M74" s="49">
        <f t="shared" ref="M74:M75" si="252">IF(L74="Sec/100m",((K74)/60/100),(IF(L74="Km/h",60/K74/1000,(IF(L74="Min/km",K74/1000,"")))))</f>
        <v>4.0000000000000001E-3</v>
      </c>
      <c r="N74" s="50">
        <f t="shared" ref="N74:N75" si="253">H74*M74</f>
        <v>176</v>
      </c>
      <c r="O74" s="50">
        <f t="shared" ref="O74:O75" si="254">N74*1.25</f>
        <v>220</v>
      </c>
      <c r="P74" s="51"/>
      <c r="Q74" s="50">
        <f t="shared" ref="Q74:Q75" si="255">O70</f>
        <v>110</v>
      </c>
      <c r="R74" s="52">
        <f t="shared" ref="R74:R75" si="256">N74/M74</f>
        <v>44000</v>
      </c>
      <c r="S74" s="52">
        <f t="shared" ref="S74:S75" si="257">O74/M74</f>
        <v>55000</v>
      </c>
      <c r="T74" s="52">
        <f t="shared" ref="T74:T75" si="258">P74/M74</f>
        <v>0</v>
      </c>
      <c r="U74" s="181">
        <f t="shared" ref="U74:U75" si="259">(N74*0.75)/M74</f>
        <v>33000</v>
      </c>
      <c r="V74" s="45">
        <f ca="1">VLOOKUP(F74,AGE!F:J,4,FALSE)</f>
        <v>2001</v>
      </c>
      <c r="W74" s="45">
        <f ca="1">VLOOKUP(F74,AGE!F:J,5,FALSE)</f>
        <v>1920</v>
      </c>
      <c r="Y74" s="33">
        <f t="shared" si="234"/>
        <v>0</v>
      </c>
    </row>
    <row r="75" spans="1:25" x14ac:dyDescent="0.3">
      <c r="A75" s="33">
        <v>20</v>
      </c>
      <c r="B75" s="33">
        <v>80</v>
      </c>
      <c r="C75" s="33">
        <v>3</v>
      </c>
      <c r="D75" s="34" t="str">
        <f t="shared" si="235"/>
        <v>20803</v>
      </c>
      <c r="E75" s="33" t="s">
        <v>4</v>
      </c>
      <c r="F75" s="44" t="s">
        <v>21</v>
      </c>
      <c r="G75" s="45" t="s">
        <v>10</v>
      </c>
      <c r="H75" s="69">
        <v>16000</v>
      </c>
      <c r="I75" s="47">
        <f t="shared" si="250"/>
        <v>17600</v>
      </c>
      <c r="J75" s="47">
        <f t="shared" si="251"/>
        <v>14400</v>
      </c>
      <c r="K75" s="68">
        <v>4.5</v>
      </c>
      <c r="L75" s="48" t="s">
        <v>32</v>
      </c>
      <c r="M75" s="49">
        <f t="shared" si="252"/>
        <v>4.4999999999999997E-3</v>
      </c>
      <c r="N75" s="50">
        <f t="shared" si="253"/>
        <v>72</v>
      </c>
      <c r="O75" s="50">
        <f t="shared" si="254"/>
        <v>90</v>
      </c>
      <c r="P75" s="51"/>
      <c r="Q75" s="50">
        <f t="shared" si="255"/>
        <v>45</v>
      </c>
      <c r="R75" s="52">
        <f t="shared" si="256"/>
        <v>16000.000000000002</v>
      </c>
      <c r="S75" s="52">
        <f t="shared" si="257"/>
        <v>20000</v>
      </c>
      <c r="T75" s="52">
        <f t="shared" si="258"/>
        <v>0</v>
      </c>
      <c r="U75" s="181">
        <f t="shared" si="259"/>
        <v>12000</v>
      </c>
      <c r="V75" s="45">
        <f ca="1">VLOOKUP(F75,AGE!F:J,4,FALSE)</f>
        <v>2001</v>
      </c>
      <c r="W75" s="45">
        <f ca="1">VLOOKUP(F75,AGE!F:J,5,FALSE)</f>
        <v>1920</v>
      </c>
      <c r="Y75" s="33">
        <f t="shared" si="234"/>
        <v>0</v>
      </c>
    </row>
    <row r="76" spans="1:25" x14ac:dyDescent="0.3">
      <c r="A76" s="33">
        <v>20</v>
      </c>
      <c r="B76" s="33">
        <v>80</v>
      </c>
      <c r="C76" s="33">
        <v>4</v>
      </c>
      <c r="D76" s="34" t="str">
        <f t="shared" si="235"/>
        <v>20804</v>
      </c>
      <c r="E76" s="33" t="s">
        <v>4</v>
      </c>
      <c r="F76" s="44" t="s">
        <v>21</v>
      </c>
      <c r="G76" s="55" t="s">
        <v>25</v>
      </c>
      <c r="H76" s="56">
        <f>SUM(H73:H75)</f>
        <v>62000</v>
      </c>
      <c r="I76" s="57">
        <f t="shared" ref="I76" si="260">SUM(I73:I75)</f>
        <v>68200</v>
      </c>
      <c r="J76" s="57">
        <f t="shared" ref="J76" si="261">SUM(J73:J75)</f>
        <v>55800</v>
      </c>
      <c r="K76" s="57"/>
      <c r="L76" s="58"/>
      <c r="M76" s="63"/>
      <c r="N76" s="60">
        <f t="shared" ref="N76" si="262">SUM(N73:N75)</f>
        <v>283</v>
      </c>
      <c r="O76" s="61">
        <f t="shared" ref="O76" si="263">SUM(O73:O75)</f>
        <v>353.75</v>
      </c>
      <c r="P76" s="62"/>
      <c r="Q76" s="62">
        <f t="shared" ref="Q76" si="264">SUM(Q73:Q75)</f>
        <v>176.875</v>
      </c>
      <c r="R76" s="64">
        <f>SUM(R73:R75)</f>
        <v>62000</v>
      </c>
      <c r="S76" s="64">
        <f>SUM(S73:S75)</f>
        <v>77500</v>
      </c>
      <c r="T76" s="65"/>
      <c r="U76" s="66">
        <f>SUM(U73:U75)</f>
        <v>46500</v>
      </c>
      <c r="V76" s="45">
        <f ca="1">VLOOKUP(F76,AGE!F:J,4,FALSE)</f>
        <v>2001</v>
      </c>
      <c r="W76" s="45">
        <f ca="1">VLOOKUP(F76,AGE!F:J,5,FALSE)</f>
        <v>1920</v>
      </c>
      <c r="Y76" s="33">
        <f t="shared" si="234"/>
        <v>0</v>
      </c>
    </row>
    <row r="77" spans="1:25" x14ac:dyDescent="0.3">
      <c r="A77" s="33">
        <v>20</v>
      </c>
      <c r="B77" s="33">
        <v>90</v>
      </c>
      <c r="C77" s="33">
        <v>1</v>
      </c>
      <c r="D77" s="34" t="str">
        <f t="shared" si="235"/>
        <v>20901</v>
      </c>
      <c r="E77" s="33" t="s">
        <v>4</v>
      </c>
      <c r="F77" s="44" t="s">
        <v>22</v>
      </c>
      <c r="G77" s="45" t="s">
        <v>8</v>
      </c>
      <c r="H77" s="69">
        <v>3000</v>
      </c>
      <c r="I77" s="47">
        <f>H77*1.1</f>
        <v>3300.0000000000005</v>
      </c>
      <c r="J77" s="47">
        <f>H77*0.9</f>
        <v>2700</v>
      </c>
      <c r="K77" s="47">
        <v>105</v>
      </c>
      <c r="L77" s="48" t="s">
        <v>31</v>
      </c>
      <c r="M77" s="49">
        <f>IF(L77="Sec/100m",((K77)/60/100),(IF(L77="Km/h",60/K77/1000,(IF(L77="Min/km",K77/1000,"")))))</f>
        <v>1.7500000000000002E-2</v>
      </c>
      <c r="N77" s="50">
        <f>H77*M77</f>
        <v>52.500000000000007</v>
      </c>
      <c r="O77" s="50">
        <f>N77*1.25</f>
        <v>65.625000000000014</v>
      </c>
      <c r="P77" s="51"/>
      <c r="Q77" s="50">
        <f>O73</f>
        <v>43.75</v>
      </c>
      <c r="R77" s="52">
        <f>N77/M77</f>
        <v>3000</v>
      </c>
      <c r="S77" s="52">
        <f>O77/M77</f>
        <v>3750.0000000000005</v>
      </c>
      <c r="T77" s="52">
        <f>P77/M77</f>
        <v>0</v>
      </c>
      <c r="U77" s="181">
        <f>(N77*0.75)/M77</f>
        <v>2250</v>
      </c>
      <c r="V77" s="45">
        <f ca="1">VLOOKUP(F77,AGE!F:J,4,FALSE)</f>
        <v>2001</v>
      </c>
      <c r="W77" s="45">
        <f ca="1">VLOOKUP(F77,AGE!F:J,5,FALSE)</f>
        <v>1920</v>
      </c>
      <c r="Y77" s="33">
        <f t="shared" si="234"/>
        <v>0</v>
      </c>
    </row>
    <row r="78" spans="1:25" x14ac:dyDescent="0.3">
      <c r="A78" s="33">
        <v>20</v>
      </c>
      <c r="B78" s="33">
        <v>90</v>
      </c>
      <c r="C78" s="33">
        <v>2</v>
      </c>
      <c r="D78" s="34" t="str">
        <f t="shared" si="235"/>
        <v>20902</v>
      </c>
      <c r="E78" s="33" t="s">
        <v>4</v>
      </c>
      <c r="F78" s="44" t="s">
        <v>22</v>
      </c>
      <c r="G78" s="54" t="s">
        <v>13</v>
      </c>
      <c r="H78" s="69">
        <v>66000</v>
      </c>
      <c r="I78" s="47">
        <f t="shared" ref="I78:I79" si="265">H78*1.1</f>
        <v>72600</v>
      </c>
      <c r="J78" s="47">
        <f t="shared" ref="J78:J79" si="266">H78*0.9</f>
        <v>59400</v>
      </c>
      <c r="K78" s="47">
        <v>15</v>
      </c>
      <c r="L78" s="48" t="s">
        <v>28</v>
      </c>
      <c r="M78" s="49">
        <f t="shared" ref="M78:M79" si="267">IF(L78="Sec/100m",((K78)/60/100),(IF(L78="Km/h",60/K78/1000,(IF(L78="Min/km",K78/1000,"")))))</f>
        <v>4.0000000000000001E-3</v>
      </c>
      <c r="N78" s="50">
        <f t="shared" ref="N78:N79" si="268">H78*M78</f>
        <v>264</v>
      </c>
      <c r="O78" s="50">
        <f t="shared" ref="O78:O79" si="269">N78*1.25</f>
        <v>330</v>
      </c>
      <c r="P78" s="51"/>
      <c r="Q78" s="50">
        <f t="shared" ref="Q78:Q79" si="270">O74</f>
        <v>220</v>
      </c>
      <c r="R78" s="52">
        <f t="shared" ref="R78:R79" si="271">N78/M78</f>
        <v>66000</v>
      </c>
      <c r="S78" s="52">
        <f t="shared" ref="S78:S79" si="272">O78/M78</f>
        <v>82500</v>
      </c>
      <c r="T78" s="52">
        <f t="shared" ref="T78:T79" si="273">P78/M78</f>
        <v>0</v>
      </c>
      <c r="U78" s="181">
        <f t="shared" ref="U78:U79" si="274">(N78*0.75)/M78</f>
        <v>49500</v>
      </c>
      <c r="V78" s="45">
        <f ca="1">VLOOKUP(F78,AGE!F:J,4,FALSE)</f>
        <v>2001</v>
      </c>
      <c r="W78" s="45">
        <f ca="1">VLOOKUP(F78,AGE!F:J,5,FALSE)</f>
        <v>1920</v>
      </c>
      <c r="Y78" s="33">
        <f t="shared" si="234"/>
        <v>0</v>
      </c>
    </row>
    <row r="79" spans="1:25" x14ac:dyDescent="0.3">
      <c r="A79" s="33">
        <v>20</v>
      </c>
      <c r="B79" s="33">
        <v>90</v>
      </c>
      <c r="C79" s="33">
        <v>3</v>
      </c>
      <c r="D79" s="34" t="str">
        <f t="shared" si="235"/>
        <v>20903</v>
      </c>
      <c r="E79" s="33" t="s">
        <v>4</v>
      </c>
      <c r="F79" s="44" t="s">
        <v>22</v>
      </c>
      <c r="G79" s="45" t="s">
        <v>10</v>
      </c>
      <c r="H79" s="69">
        <v>24000</v>
      </c>
      <c r="I79" s="47">
        <f t="shared" si="265"/>
        <v>26400.000000000004</v>
      </c>
      <c r="J79" s="47">
        <f t="shared" si="266"/>
        <v>21600</v>
      </c>
      <c r="K79" s="68">
        <v>4.5</v>
      </c>
      <c r="L79" s="48" t="s">
        <v>32</v>
      </c>
      <c r="M79" s="49">
        <f t="shared" si="267"/>
        <v>4.4999999999999997E-3</v>
      </c>
      <c r="N79" s="50">
        <f t="shared" si="268"/>
        <v>107.99999999999999</v>
      </c>
      <c r="O79" s="50">
        <f t="shared" si="269"/>
        <v>134.99999999999997</v>
      </c>
      <c r="P79" s="51"/>
      <c r="Q79" s="50">
        <f t="shared" si="270"/>
        <v>90</v>
      </c>
      <c r="R79" s="52">
        <f t="shared" si="271"/>
        <v>24000</v>
      </c>
      <c r="S79" s="52">
        <f t="shared" si="272"/>
        <v>29999.999999999996</v>
      </c>
      <c r="T79" s="52">
        <f t="shared" si="273"/>
        <v>0</v>
      </c>
      <c r="U79" s="181">
        <f t="shared" si="274"/>
        <v>18000</v>
      </c>
      <c r="V79" s="45">
        <f ca="1">VLOOKUP(F79,AGE!F:J,4,FALSE)</f>
        <v>2001</v>
      </c>
      <c r="W79" s="45">
        <f ca="1">VLOOKUP(F79,AGE!F:J,5,FALSE)</f>
        <v>1920</v>
      </c>
      <c r="Y79" s="33">
        <f t="shared" si="234"/>
        <v>0</v>
      </c>
    </row>
    <row r="80" spans="1:25" x14ac:dyDescent="0.3">
      <c r="A80" s="33">
        <v>20</v>
      </c>
      <c r="B80" s="33">
        <v>90</v>
      </c>
      <c r="C80" s="33">
        <v>4</v>
      </c>
      <c r="D80" s="34" t="str">
        <f t="shared" si="235"/>
        <v>20904</v>
      </c>
      <c r="E80" s="33" t="s">
        <v>4</v>
      </c>
      <c r="F80" s="44" t="s">
        <v>22</v>
      </c>
      <c r="G80" s="55" t="s">
        <v>25</v>
      </c>
      <c r="H80" s="56">
        <f>SUM(H77:H79)</f>
        <v>93000</v>
      </c>
      <c r="I80" s="57">
        <f t="shared" ref="I80" si="275">SUM(I77:I79)</f>
        <v>102300</v>
      </c>
      <c r="J80" s="57">
        <f t="shared" ref="J80" si="276">SUM(J77:J79)</f>
        <v>83700</v>
      </c>
      <c r="K80" s="57"/>
      <c r="L80" s="58"/>
      <c r="M80" s="63"/>
      <c r="N80" s="60">
        <f t="shared" ref="N80" si="277">SUM(N77:N79)</f>
        <v>424.5</v>
      </c>
      <c r="O80" s="61">
        <f t="shared" ref="O80" si="278">SUM(O77:O79)</f>
        <v>530.625</v>
      </c>
      <c r="P80" s="62"/>
      <c r="Q80" s="62">
        <f t="shared" ref="Q80" si="279">SUM(Q77:Q79)</f>
        <v>353.75</v>
      </c>
      <c r="R80" s="64">
        <f>SUM(R77:R79)</f>
        <v>93000</v>
      </c>
      <c r="S80" s="64">
        <f>SUM(S77:S79)</f>
        <v>116250</v>
      </c>
      <c r="T80" s="65"/>
      <c r="U80" s="66">
        <f>SUM(U77:U79)</f>
        <v>69750</v>
      </c>
      <c r="V80" s="45">
        <f ca="1">VLOOKUP(F80,AGE!F:J,4,FALSE)</f>
        <v>2001</v>
      </c>
      <c r="W80" s="45">
        <f ca="1">VLOOKUP(F80,AGE!F:J,5,FALSE)</f>
        <v>1920</v>
      </c>
      <c r="Y80" s="33">
        <f t="shared" si="234"/>
        <v>0</v>
      </c>
    </row>
    <row r="81" spans="1:25" x14ac:dyDescent="0.3">
      <c r="A81" s="33">
        <v>30</v>
      </c>
      <c r="B81" s="33">
        <v>10</v>
      </c>
      <c r="C81" s="33">
        <v>1</v>
      </c>
      <c r="D81" s="34" t="str">
        <f t="shared" si="235"/>
        <v>30101</v>
      </c>
      <c r="E81" s="33" t="s">
        <v>5</v>
      </c>
      <c r="F81" s="44" t="s">
        <v>14</v>
      </c>
      <c r="G81" s="45" t="s">
        <v>10</v>
      </c>
      <c r="H81" s="69">
        <v>250</v>
      </c>
      <c r="I81" s="47">
        <f>H81*1.1</f>
        <v>275</v>
      </c>
      <c r="J81" s="47">
        <f>H81*0.9</f>
        <v>225</v>
      </c>
      <c r="K81" s="68">
        <v>5</v>
      </c>
      <c r="L81" s="48" t="s">
        <v>32</v>
      </c>
      <c r="M81" s="49">
        <f t="shared" ref="M81:M144" si="280">IF(L81="Sec/100m",((K81)/60/100),(IF(L81="Km/h",60/K81/1000,(IF(L81="Min/km",K81/1000,"")))))</f>
        <v>5.0000000000000001E-3</v>
      </c>
      <c r="N81" s="50">
        <f>H81*M81</f>
        <v>1.25</v>
      </c>
      <c r="O81" s="50">
        <f>N81*1.25</f>
        <v>1.5625</v>
      </c>
      <c r="P81" s="51">
        <f>N81*1.4</f>
        <v>1.75</v>
      </c>
      <c r="Q81" s="50">
        <f>O77</f>
        <v>65.625000000000014</v>
      </c>
      <c r="R81" s="52">
        <f>N81/M81</f>
        <v>250</v>
      </c>
      <c r="S81" s="52">
        <f>O81/M81</f>
        <v>312.5</v>
      </c>
      <c r="T81" s="52">
        <f>P81/M81</f>
        <v>350</v>
      </c>
      <c r="U81" s="53">
        <f>+R81/2</f>
        <v>125</v>
      </c>
      <c r="V81" s="45">
        <f ca="1">VLOOKUP(F81,AGE!F:J,4,FALSE)</f>
        <v>2013</v>
      </c>
      <c r="W81" s="45">
        <f ca="1">VLOOKUP(F81,AGE!F:J,5,FALSE)</f>
        <v>2010</v>
      </c>
      <c r="Y81" s="33">
        <f t="shared" si="234"/>
        <v>0</v>
      </c>
    </row>
    <row r="82" spans="1:25" x14ac:dyDescent="0.3">
      <c r="A82" s="33">
        <v>30</v>
      </c>
      <c r="B82" s="33">
        <v>10</v>
      </c>
      <c r="C82" s="33">
        <v>2</v>
      </c>
      <c r="D82" s="34" t="str">
        <f t="shared" si="235"/>
        <v>30102</v>
      </c>
      <c r="E82" s="33" t="s">
        <v>5</v>
      </c>
      <c r="F82" s="44" t="s">
        <v>14</v>
      </c>
      <c r="G82" s="54" t="s">
        <v>13</v>
      </c>
      <c r="H82" s="69">
        <v>1000</v>
      </c>
      <c r="I82" s="47">
        <f t="shared" ref="I82:I83" si="281">H82*1.1</f>
        <v>1100</v>
      </c>
      <c r="J82" s="47">
        <f t="shared" ref="J82:J83" si="282">H82*0.9</f>
        <v>900</v>
      </c>
      <c r="K82" s="47">
        <v>15</v>
      </c>
      <c r="L82" s="48" t="s">
        <v>28</v>
      </c>
      <c r="M82" s="49">
        <f t="shared" si="280"/>
        <v>4.0000000000000001E-3</v>
      </c>
      <c r="N82" s="50">
        <f t="shared" ref="N82:N83" si="283">H82*M82</f>
        <v>4</v>
      </c>
      <c r="O82" s="50">
        <f t="shared" ref="O82:O83" si="284">N82*1.25</f>
        <v>5</v>
      </c>
      <c r="P82" s="51">
        <f t="shared" ref="P82:P83" si="285">N82*1.4</f>
        <v>5.6</v>
      </c>
      <c r="Q82" s="50">
        <f t="shared" ref="Q82:Q83" si="286">O78</f>
        <v>330</v>
      </c>
      <c r="R82" s="52">
        <f t="shared" ref="R82:R83" si="287">N82/M82</f>
        <v>1000</v>
      </c>
      <c r="S82" s="52">
        <f t="shared" ref="S82:S83" si="288">O82/M82</f>
        <v>1250</v>
      </c>
      <c r="T82" s="52">
        <f t="shared" ref="T82:T83" si="289">P82/M82</f>
        <v>1399.9999999999998</v>
      </c>
      <c r="U82" s="53">
        <f>+R82/2</f>
        <v>500</v>
      </c>
      <c r="V82" s="45">
        <f ca="1">VLOOKUP(F82,AGE!F:J,4,FALSE)</f>
        <v>2013</v>
      </c>
      <c r="W82" s="45">
        <f ca="1">VLOOKUP(F82,AGE!F:J,5,FALSE)</f>
        <v>2010</v>
      </c>
      <c r="Y82" s="33">
        <f t="shared" si="234"/>
        <v>0</v>
      </c>
    </row>
    <row r="83" spans="1:25" x14ac:dyDescent="0.3">
      <c r="A83" s="33">
        <v>30</v>
      </c>
      <c r="B83" s="33">
        <v>10</v>
      </c>
      <c r="C83" s="33">
        <v>3</v>
      </c>
      <c r="D83" s="34" t="str">
        <f t="shared" si="235"/>
        <v>30103</v>
      </c>
      <c r="E83" s="33" t="s">
        <v>5</v>
      </c>
      <c r="F83" s="44" t="s">
        <v>14</v>
      </c>
      <c r="G83" s="45" t="s">
        <v>10</v>
      </c>
      <c r="H83" s="69">
        <v>250</v>
      </c>
      <c r="I83" s="47">
        <f t="shared" si="281"/>
        <v>275</v>
      </c>
      <c r="J83" s="47">
        <f t="shared" si="282"/>
        <v>225</v>
      </c>
      <c r="K83" s="68">
        <v>5</v>
      </c>
      <c r="L83" s="48" t="s">
        <v>32</v>
      </c>
      <c r="M83" s="49">
        <f t="shared" si="280"/>
        <v>5.0000000000000001E-3</v>
      </c>
      <c r="N83" s="50">
        <f t="shared" si="283"/>
        <v>1.25</v>
      </c>
      <c r="O83" s="50">
        <f t="shared" si="284"/>
        <v>1.5625</v>
      </c>
      <c r="P83" s="51">
        <f t="shared" si="285"/>
        <v>1.75</v>
      </c>
      <c r="Q83" s="50">
        <f t="shared" si="286"/>
        <v>134.99999999999997</v>
      </c>
      <c r="R83" s="52">
        <f t="shared" si="287"/>
        <v>250</v>
      </c>
      <c r="S83" s="52">
        <f t="shared" si="288"/>
        <v>312.5</v>
      </c>
      <c r="T83" s="52">
        <f t="shared" si="289"/>
        <v>350</v>
      </c>
      <c r="U83" s="53">
        <f>+R83/2</f>
        <v>125</v>
      </c>
      <c r="V83" s="45">
        <f ca="1">VLOOKUP(F83,AGE!F:J,4,FALSE)</f>
        <v>2013</v>
      </c>
      <c r="W83" s="45">
        <f ca="1">VLOOKUP(F83,AGE!F:J,5,FALSE)</f>
        <v>2010</v>
      </c>
      <c r="Y83" s="33">
        <f t="shared" si="234"/>
        <v>0</v>
      </c>
    </row>
    <row r="84" spans="1:25" x14ac:dyDescent="0.3">
      <c r="A84" s="33">
        <v>30</v>
      </c>
      <c r="B84" s="33">
        <v>10</v>
      </c>
      <c r="C84" s="33">
        <v>4</v>
      </c>
      <c r="D84" s="34" t="str">
        <f t="shared" si="235"/>
        <v>30104</v>
      </c>
      <c r="E84" s="33" t="s">
        <v>5</v>
      </c>
      <c r="F84" s="44" t="s">
        <v>14</v>
      </c>
      <c r="G84" s="55" t="s">
        <v>25</v>
      </c>
      <c r="H84" s="56">
        <f>SUM(H81:H83)</f>
        <v>1500</v>
      </c>
      <c r="I84" s="57">
        <f t="shared" ref="I84" si="290">SUM(I81:I83)</f>
        <v>1650</v>
      </c>
      <c r="J84" s="57">
        <f t="shared" ref="J84" si="291">SUM(J81:J83)</f>
        <v>1350</v>
      </c>
      <c r="K84" s="57"/>
      <c r="L84" s="58"/>
      <c r="M84" s="49" t="str">
        <f t="shared" si="280"/>
        <v/>
      </c>
      <c r="N84" s="60">
        <f t="shared" ref="N84" si="292">SUM(N81:N83)</f>
        <v>6.5</v>
      </c>
      <c r="O84" s="61">
        <f t="shared" ref="O84" si="293">SUM(O81:O83)</f>
        <v>8.125</v>
      </c>
      <c r="P84" s="62"/>
      <c r="Q84" s="62">
        <f t="shared" ref="Q84" si="294">SUM(Q81:Q83)</f>
        <v>530.625</v>
      </c>
      <c r="R84" s="64">
        <f>SUM(R81:R83)</f>
        <v>1500</v>
      </c>
      <c r="S84" s="64">
        <f>SUM(S81:S83)</f>
        <v>1875</v>
      </c>
      <c r="T84" s="65"/>
      <c r="U84" s="66">
        <f>SUM(U81:U83)</f>
        <v>750</v>
      </c>
      <c r="V84" s="45">
        <f ca="1">VLOOKUP(F84,AGE!F:J,4,FALSE)</f>
        <v>2013</v>
      </c>
      <c r="W84" s="45">
        <f ca="1">VLOOKUP(F84,AGE!F:J,5,FALSE)</f>
        <v>2010</v>
      </c>
      <c r="Y84" s="33">
        <f t="shared" si="234"/>
        <v>0</v>
      </c>
    </row>
    <row r="85" spans="1:25" x14ac:dyDescent="0.3">
      <c r="A85" s="33">
        <v>30</v>
      </c>
      <c r="B85" s="33">
        <v>20</v>
      </c>
      <c r="C85" s="33">
        <v>1</v>
      </c>
      <c r="D85" s="34" t="str">
        <f t="shared" si="235"/>
        <v>30201</v>
      </c>
      <c r="E85" s="33" t="s">
        <v>5</v>
      </c>
      <c r="F85" s="44" t="s">
        <v>15</v>
      </c>
      <c r="G85" s="45" t="s">
        <v>10</v>
      </c>
      <c r="H85" s="69">
        <v>500</v>
      </c>
      <c r="I85" s="47">
        <f>H85*1.1</f>
        <v>550</v>
      </c>
      <c r="J85" s="47">
        <f>H85*0.9</f>
        <v>450</v>
      </c>
      <c r="K85" s="68">
        <v>5</v>
      </c>
      <c r="L85" s="48" t="s">
        <v>32</v>
      </c>
      <c r="M85" s="49">
        <f t="shared" si="280"/>
        <v>5.0000000000000001E-3</v>
      </c>
      <c r="N85" s="50">
        <f>H85*M85</f>
        <v>2.5</v>
      </c>
      <c r="O85" s="50">
        <f>N85*1.25</f>
        <v>3.125</v>
      </c>
      <c r="P85" s="51">
        <f>N85*1.4</f>
        <v>3.5</v>
      </c>
      <c r="Q85" s="50">
        <f>O81</f>
        <v>1.5625</v>
      </c>
      <c r="R85" s="52">
        <f>N85/M85</f>
        <v>500</v>
      </c>
      <c r="S85" s="52">
        <f>O85/M85</f>
        <v>625</v>
      </c>
      <c r="T85" s="52">
        <f>P85/M85</f>
        <v>700</v>
      </c>
      <c r="U85" s="67">
        <f>S81</f>
        <v>312.5</v>
      </c>
      <c r="V85" s="45">
        <f ca="1">VLOOKUP(F85,AGE!F:J,4,FALSE)</f>
        <v>2011</v>
      </c>
      <c r="W85" s="45">
        <f ca="1">VLOOKUP(F85,AGE!F:J,5,FALSE)</f>
        <v>2008</v>
      </c>
      <c r="Y85" s="33">
        <f t="shared" si="234"/>
        <v>0</v>
      </c>
    </row>
    <row r="86" spans="1:25" x14ac:dyDescent="0.3">
      <c r="A86" s="33">
        <v>30</v>
      </c>
      <c r="B86" s="33">
        <v>20</v>
      </c>
      <c r="C86" s="33">
        <v>2</v>
      </c>
      <c r="D86" s="34" t="str">
        <f t="shared" si="235"/>
        <v>30202</v>
      </c>
      <c r="E86" s="33" t="s">
        <v>5</v>
      </c>
      <c r="F86" s="44" t="s">
        <v>15</v>
      </c>
      <c r="G86" s="54" t="s">
        <v>13</v>
      </c>
      <c r="H86" s="69">
        <v>2000</v>
      </c>
      <c r="I86" s="47">
        <f t="shared" ref="I86:I87" si="295">H86*1.1</f>
        <v>2200</v>
      </c>
      <c r="J86" s="47">
        <f t="shared" ref="J86:J87" si="296">H86*0.9</f>
        <v>1800</v>
      </c>
      <c r="K86" s="47">
        <v>15</v>
      </c>
      <c r="L86" s="48" t="s">
        <v>28</v>
      </c>
      <c r="M86" s="49">
        <f t="shared" si="280"/>
        <v>4.0000000000000001E-3</v>
      </c>
      <c r="N86" s="50">
        <f t="shared" ref="N86:N87" si="297">H86*M86</f>
        <v>8</v>
      </c>
      <c r="O86" s="50">
        <f t="shared" ref="O86:O87" si="298">N86*1.25</f>
        <v>10</v>
      </c>
      <c r="P86" s="51">
        <f t="shared" ref="P86:P87" si="299">N86*1.4</f>
        <v>11.2</v>
      </c>
      <c r="Q86" s="50">
        <f t="shared" ref="Q86:Q87" si="300">O82</f>
        <v>5</v>
      </c>
      <c r="R86" s="52">
        <f t="shared" ref="R86:R87" si="301">N86/M86</f>
        <v>2000</v>
      </c>
      <c r="S86" s="52">
        <f t="shared" ref="S86:S87" si="302">O86/M86</f>
        <v>2500</v>
      </c>
      <c r="T86" s="52">
        <f t="shared" ref="T86:T87" si="303">P86/M86</f>
        <v>2799.9999999999995</v>
      </c>
      <c r="U86" s="67">
        <f>S82</f>
        <v>1250</v>
      </c>
      <c r="V86" s="45">
        <f ca="1">VLOOKUP(F86,AGE!F:J,4,FALSE)</f>
        <v>2011</v>
      </c>
      <c r="W86" s="45">
        <f ca="1">VLOOKUP(F86,AGE!F:J,5,FALSE)</f>
        <v>2008</v>
      </c>
      <c r="Y86" s="33">
        <f t="shared" si="234"/>
        <v>0</v>
      </c>
    </row>
    <row r="87" spans="1:25" x14ac:dyDescent="0.3">
      <c r="A87" s="33">
        <v>30</v>
      </c>
      <c r="B87" s="33">
        <v>20</v>
      </c>
      <c r="C87" s="33">
        <v>3</v>
      </c>
      <c r="D87" s="34" t="str">
        <f t="shared" si="235"/>
        <v>30203</v>
      </c>
      <c r="E87" s="33" t="s">
        <v>5</v>
      </c>
      <c r="F87" s="44" t="s">
        <v>15</v>
      </c>
      <c r="G87" s="45" t="s">
        <v>10</v>
      </c>
      <c r="H87" s="69">
        <v>500</v>
      </c>
      <c r="I87" s="47">
        <f t="shared" si="295"/>
        <v>550</v>
      </c>
      <c r="J87" s="47">
        <f t="shared" si="296"/>
        <v>450</v>
      </c>
      <c r="K87" s="68">
        <v>5</v>
      </c>
      <c r="L87" s="48" t="s">
        <v>32</v>
      </c>
      <c r="M87" s="49">
        <f t="shared" si="280"/>
        <v>5.0000000000000001E-3</v>
      </c>
      <c r="N87" s="50">
        <f t="shared" si="297"/>
        <v>2.5</v>
      </c>
      <c r="O87" s="50">
        <f t="shared" si="298"/>
        <v>3.125</v>
      </c>
      <c r="P87" s="51">
        <f t="shared" si="299"/>
        <v>3.5</v>
      </c>
      <c r="Q87" s="50">
        <f t="shared" si="300"/>
        <v>1.5625</v>
      </c>
      <c r="R87" s="52">
        <f t="shared" si="301"/>
        <v>500</v>
      </c>
      <c r="S87" s="52">
        <f t="shared" si="302"/>
        <v>625</v>
      </c>
      <c r="T87" s="52">
        <f t="shared" si="303"/>
        <v>700</v>
      </c>
      <c r="U87" s="67">
        <f>S83</f>
        <v>312.5</v>
      </c>
      <c r="V87" s="45">
        <f ca="1">VLOOKUP(F87,AGE!F:J,4,FALSE)</f>
        <v>2011</v>
      </c>
      <c r="W87" s="45">
        <f ca="1">VLOOKUP(F87,AGE!F:J,5,FALSE)</f>
        <v>2008</v>
      </c>
      <c r="Y87" s="33">
        <f t="shared" si="234"/>
        <v>0</v>
      </c>
    </row>
    <row r="88" spans="1:25" x14ac:dyDescent="0.3">
      <c r="A88" s="33">
        <v>30</v>
      </c>
      <c r="B88" s="33">
        <v>20</v>
      </c>
      <c r="C88" s="33">
        <v>4</v>
      </c>
      <c r="D88" s="34" t="str">
        <f t="shared" si="235"/>
        <v>30204</v>
      </c>
      <c r="E88" s="33" t="s">
        <v>5</v>
      </c>
      <c r="F88" s="44" t="s">
        <v>15</v>
      </c>
      <c r="G88" s="55" t="s">
        <v>25</v>
      </c>
      <c r="H88" s="56">
        <f>SUM(H85:H87)</f>
        <v>3000</v>
      </c>
      <c r="I88" s="57">
        <f t="shared" ref="I88" si="304">SUM(I85:I87)</f>
        <v>3300</v>
      </c>
      <c r="J88" s="57">
        <f t="shared" ref="J88" si="305">SUM(J85:J87)</f>
        <v>2700</v>
      </c>
      <c r="K88" s="57"/>
      <c r="L88" s="58"/>
      <c r="M88" s="49" t="str">
        <f t="shared" si="280"/>
        <v/>
      </c>
      <c r="N88" s="60">
        <f t="shared" ref="N88" si="306">SUM(N85:N87)</f>
        <v>13</v>
      </c>
      <c r="O88" s="61">
        <f t="shared" ref="O88" si="307">SUM(O85:O87)</f>
        <v>16.25</v>
      </c>
      <c r="P88" s="62"/>
      <c r="Q88" s="62">
        <f t="shared" ref="Q88" si="308">SUM(Q85:Q87)</f>
        <v>8.125</v>
      </c>
      <c r="R88" s="64">
        <f>SUM(R85:R87)</f>
        <v>3000</v>
      </c>
      <c r="S88" s="64">
        <f>SUM(S85:S87)</f>
        <v>3750</v>
      </c>
      <c r="T88" s="65"/>
      <c r="U88" s="66">
        <f>SUM(U85:U87)</f>
        <v>1875</v>
      </c>
      <c r="V88" s="45">
        <f ca="1">VLOOKUP(F88,AGE!F:J,4,FALSE)</f>
        <v>2011</v>
      </c>
      <c r="W88" s="45">
        <f ca="1">VLOOKUP(F88,AGE!F:J,5,FALSE)</f>
        <v>2008</v>
      </c>
      <c r="Y88" s="33">
        <f t="shared" si="234"/>
        <v>0</v>
      </c>
    </row>
    <row r="89" spans="1:25" x14ac:dyDescent="0.3">
      <c r="A89" s="33">
        <v>30</v>
      </c>
      <c r="B89" s="33">
        <v>30</v>
      </c>
      <c r="C89" s="33">
        <v>1</v>
      </c>
      <c r="D89" s="34" t="str">
        <f t="shared" si="235"/>
        <v>30301</v>
      </c>
      <c r="E89" s="33" t="s">
        <v>5</v>
      </c>
      <c r="F89" s="44" t="s">
        <v>79</v>
      </c>
      <c r="G89" s="45" t="s">
        <v>10</v>
      </c>
      <c r="H89" s="69">
        <v>750</v>
      </c>
      <c r="I89" s="47">
        <f>H89*1.1</f>
        <v>825.00000000000011</v>
      </c>
      <c r="J89" s="47">
        <f>H89*0.9</f>
        <v>675</v>
      </c>
      <c r="K89" s="68">
        <v>5</v>
      </c>
      <c r="L89" s="48" t="s">
        <v>32</v>
      </c>
      <c r="M89" s="49">
        <f t="shared" si="280"/>
        <v>5.0000000000000001E-3</v>
      </c>
      <c r="N89" s="50">
        <f>H89*M89</f>
        <v>3.75</v>
      </c>
      <c r="O89" s="50">
        <f>N89*1.25</f>
        <v>4.6875</v>
      </c>
      <c r="P89" s="51">
        <f>N89*1.4</f>
        <v>5.25</v>
      </c>
      <c r="Q89" s="50">
        <f>O85</f>
        <v>3.125</v>
      </c>
      <c r="R89" s="52">
        <f>N89/M89</f>
        <v>750</v>
      </c>
      <c r="S89" s="52">
        <f>O89/M89</f>
        <v>937.5</v>
      </c>
      <c r="T89" s="52">
        <f>P89/M89</f>
        <v>1050</v>
      </c>
      <c r="U89" s="67">
        <f>S85</f>
        <v>625</v>
      </c>
      <c r="V89" s="45">
        <f ca="1">VLOOKUP(F89,AGE!F:J,4,FALSE)</f>
        <v>2009</v>
      </c>
      <c r="W89" s="45">
        <f ca="1">VLOOKUP(F89,AGE!F:J,5,FALSE)</f>
        <v>2006</v>
      </c>
      <c r="Y89" s="33">
        <f t="shared" si="234"/>
        <v>0</v>
      </c>
    </row>
    <row r="90" spans="1:25" x14ac:dyDescent="0.3">
      <c r="A90" s="33">
        <v>30</v>
      </c>
      <c r="B90" s="33">
        <v>30</v>
      </c>
      <c r="C90" s="33">
        <v>2</v>
      </c>
      <c r="D90" s="34" t="str">
        <f t="shared" si="235"/>
        <v>30302</v>
      </c>
      <c r="E90" s="33" t="s">
        <v>5</v>
      </c>
      <c r="F90" s="44" t="s">
        <v>79</v>
      </c>
      <c r="G90" s="54" t="s">
        <v>13</v>
      </c>
      <c r="H90" s="69">
        <v>5000</v>
      </c>
      <c r="I90" s="47">
        <f t="shared" ref="I90:I91" si="309">H90*1.1</f>
        <v>5500</v>
      </c>
      <c r="J90" s="47">
        <f t="shared" ref="J90:J91" si="310">H90*0.9</f>
        <v>4500</v>
      </c>
      <c r="K90" s="47">
        <v>15</v>
      </c>
      <c r="L90" s="48" t="s">
        <v>28</v>
      </c>
      <c r="M90" s="49">
        <f t="shared" si="280"/>
        <v>4.0000000000000001E-3</v>
      </c>
      <c r="N90" s="50">
        <f t="shared" ref="N90:N91" si="311">H90*M90</f>
        <v>20</v>
      </c>
      <c r="O90" s="50">
        <f t="shared" ref="O90:O91" si="312">N90*1.25</f>
        <v>25</v>
      </c>
      <c r="P90" s="51">
        <f t="shared" ref="P90:P91" si="313">N90*1.4</f>
        <v>28</v>
      </c>
      <c r="Q90" s="50">
        <f t="shared" ref="Q90:Q91" si="314">O86</f>
        <v>10</v>
      </c>
      <c r="R90" s="52">
        <f t="shared" ref="R90:R91" si="315">N90/M90</f>
        <v>5000</v>
      </c>
      <c r="S90" s="52">
        <f t="shared" ref="S90:S91" si="316">O90/M90</f>
        <v>6250</v>
      </c>
      <c r="T90" s="52">
        <f t="shared" ref="T90:T91" si="317">P90/M90</f>
        <v>7000</v>
      </c>
      <c r="U90" s="67">
        <f>S86</f>
        <v>2500</v>
      </c>
      <c r="V90" s="45">
        <f ca="1">VLOOKUP(F90,AGE!F:J,4,FALSE)</f>
        <v>2009</v>
      </c>
      <c r="W90" s="45">
        <f ca="1">VLOOKUP(F90,AGE!F:J,5,FALSE)</f>
        <v>2006</v>
      </c>
      <c r="Y90" s="33">
        <f t="shared" si="234"/>
        <v>0</v>
      </c>
    </row>
    <row r="91" spans="1:25" x14ac:dyDescent="0.3">
      <c r="A91" s="33">
        <v>30</v>
      </c>
      <c r="B91" s="33">
        <v>30</v>
      </c>
      <c r="C91" s="33">
        <v>3</v>
      </c>
      <c r="D91" s="34" t="str">
        <f t="shared" si="235"/>
        <v>30303</v>
      </c>
      <c r="E91" s="33" t="s">
        <v>5</v>
      </c>
      <c r="F91" s="44" t="s">
        <v>79</v>
      </c>
      <c r="G91" s="45" t="s">
        <v>10</v>
      </c>
      <c r="H91" s="69">
        <v>750</v>
      </c>
      <c r="I91" s="47">
        <f t="shared" si="309"/>
        <v>825.00000000000011</v>
      </c>
      <c r="J91" s="47">
        <f t="shared" si="310"/>
        <v>675</v>
      </c>
      <c r="K91" s="68">
        <v>5</v>
      </c>
      <c r="L91" s="48" t="s">
        <v>32</v>
      </c>
      <c r="M91" s="49">
        <f t="shared" si="280"/>
        <v>5.0000000000000001E-3</v>
      </c>
      <c r="N91" s="50">
        <f t="shared" si="311"/>
        <v>3.75</v>
      </c>
      <c r="O91" s="50">
        <f t="shared" si="312"/>
        <v>4.6875</v>
      </c>
      <c r="P91" s="51">
        <f t="shared" si="313"/>
        <v>5.25</v>
      </c>
      <c r="Q91" s="50">
        <f t="shared" si="314"/>
        <v>3.125</v>
      </c>
      <c r="R91" s="52">
        <f t="shared" si="315"/>
        <v>750</v>
      </c>
      <c r="S91" s="52">
        <f t="shared" si="316"/>
        <v>937.5</v>
      </c>
      <c r="T91" s="52">
        <f t="shared" si="317"/>
        <v>1050</v>
      </c>
      <c r="U91" s="67">
        <f>S87</f>
        <v>625</v>
      </c>
      <c r="V91" s="45">
        <f ca="1">VLOOKUP(F91,AGE!F:J,4,FALSE)</f>
        <v>2009</v>
      </c>
      <c r="W91" s="45">
        <f ca="1">VLOOKUP(F91,AGE!F:J,5,FALSE)</f>
        <v>2006</v>
      </c>
      <c r="Y91" s="33">
        <f t="shared" si="234"/>
        <v>0</v>
      </c>
    </row>
    <row r="92" spans="1:25" x14ac:dyDescent="0.3">
      <c r="A92" s="33">
        <v>30</v>
      </c>
      <c r="B92" s="33">
        <v>30</v>
      </c>
      <c r="C92" s="33">
        <v>4</v>
      </c>
      <c r="D92" s="34" t="str">
        <f t="shared" si="235"/>
        <v>30304</v>
      </c>
      <c r="E92" s="33" t="s">
        <v>5</v>
      </c>
      <c r="F92" s="44" t="s">
        <v>79</v>
      </c>
      <c r="G92" s="55" t="s">
        <v>25</v>
      </c>
      <c r="H92" s="56">
        <f>SUM(H89:H91)</f>
        <v>6500</v>
      </c>
      <c r="I92" s="57">
        <f t="shared" ref="I92" si="318">SUM(I89:I91)</f>
        <v>7150</v>
      </c>
      <c r="J92" s="57">
        <f t="shared" ref="J92" si="319">SUM(J89:J91)</f>
        <v>5850</v>
      </c>
      <c r="K92" s="57"/>
      <c r="L92" s="58"/>
      <c r="M92" s="49" t="str">
        <f t="shared" si="280"/>
        <v/>
      </c>
      <c r="N92" s="60">
        <f t="shared" ref="N92" si="320">SUM(N89:N91)</f>
        <v>27.5</v>
      </c>
      <c r="O92" s="61">
        <f t="shared" ref="O92" si="321">SUM(O89:O91)</f>
        <v>34.375</v>
      </c>
      <c r="P92" s="62"/>
      <c r="Q92" s="62">
        <f t="shared" ref="Q92" si="322">SUM(Q89:Q91)</f>
        <v>16.25</v>
      </c>
      <c r="R92" s="64">
        <f>SUM(R89:R91)</f>
        <v>6500</v>
      </c>
      <c r="S92" s="64">
        <f>SUM(S89:S91)</f>
        <v>8125</v>
      </c>
      <c r="T92" s="65"/>
      <c r="U92" s="66">
        <f>SUM(U89:U91)</f>
        <v>3750</v>
      </c>
      <c r="V92" s="45">
        <f ca="1">VLOOKUP(F92,AGE!F:J,4,FALSE)</f>
        <v>2009</v>
      </c>
      <c r="W92" s="45">
        <f ca="1">VLOOKUP(F92,AGE!F:J,5,FALSE)</f>
        <v>2006</v>
      </c>
      <c r="Y92" s="33">
        <f t="shared" si="234"/>
        <v>0</v>
      </c>
    </row>
    <row r="93" spans="1:25" x14ac:dyDescent="0.3">
      <c r="A93" s="33">
        <v>30</v>
      </c>
      <c r="B93" s="33">
        <v>40</v>
      </c>
      <c r="C93" s="33">
        <v>1</v>
      </c>
      <c r="D93" s="34" t="str">
        <f t="shared" si="235"/>
        <v>30401</v>
      </c>
      <c r="E93" s="33" t="s">
        <v>5</v>
      </c>
      <c r="F93" s="44" t="s">
        <v>17</v>
      </c>
      <c r="G93" s="45" t="s">
        <v>10</v>
      </c>
      <c r="H93" s="69">
        <v>1000</v>
      </c>
      <c r="I93" s="47">
        <f>H93*1.1</f>
        <v>1100</v>
      </c>
      <c r="J93" s="47">
        <f>H93*0.9</f>
        <v>900</v>
      </c>
      <c r="K93" s="68">
        <v>5</v>
      </c>
      <c r="L93" s="48" t="s">
        <v>32</v>
      </c>
      <c r="M93" s="49">
        <f t="shared" ref="M93" si="323">IF(L93="Sec/100m",((K93)/60/100),(IF(L93="Km/h",60/K93/1000,(IF(L93="Min/km",K93/1000,"")))))</f>
        <v>5.0000000000000001E-3</v>
      </c>
      <c r="N93" s="50">
        <f>H93*M93</f>
        <v>5</v>
      </c>
      <c r="O93" s="50">
        <f>N93*1.25</f>
        <v>6.25</v>
      </c>
      <c r="P93" s="51">
        <f>N93*1.4</f>
        <v>7</v>
      </c>
      <c r="Q93" s="50">
        <f>O89</f>
        <v>4.6875</v>
      </c>
      <c r="R93" s="52">
        <f>N93/M93</f>
        <v>1000</v>
      </c>
      <c r="S93" s="52">
        <f>O93/M93</f>
        <v>1250</v>
      </c>
      <c r="T93" s="52">
        <f>P93/M93</f>
        <v>1400</v>
      </c>
      <c r="U93" s="67">
        <f>S89</f>
        <v>937.5</v>
      </c>
      <c r="V93" s="45">
        <f ca="1">VLOOKUP(F93,AGE!F:J,4,FALSE)</f>
        <v>2007</v>
      </c>
      <c r="W93" s="45">
        <f ca="1">VLOOKUP(F93,AGE!F:J,5,FALSE)</f>
        <v>2000</v>
      </c>
      <c r="Y93" s="33">
        <f t="shared" si="234"/>
        <v>0</v>
      </c>
    </row>
    <row r="94" spans="1:25" x14ac:dyDescent="0.3">
      <c r="A94" s="33">
        <v>30</v>
      </c>
      <c r="B94" s="33">
        <v>40</v>
      </c>
      <c r="C94" s="33">
        <v>2</v>
      </c>
      <c r="D94" s="34" t="str">
        <f t="shared" si="235"/>
        <v>30402</v>
      </c>
      <c r="E94" s="33" t="s">
        <v>5</v>
      </c>
      <c r="F94" s="44" t="s">
        <v>17</v>
      </c>
      <c r="G94" s="54" t="s">
        <v>13</v>
      </c>
      <c r="H94" s="69">
        <v>6000</v>
      </c>
      <c r="I94" s="47">
        <f t="shared" ref="I94:I95" si="324">H94*1.1</f>
        <v>6600.0000000000009</v>
      </c>
      <c r="J94" s="47">
        <f t="shared" ref="J94:J95" si="325">H94*0.9</f>
        <v>5400</v>
      </c>
      <c r="K94" s="47">
        <v>15</v>
      </c>
      <c r="L94" s="48" t="s">
        <v>28</v>
      </c>
      <c r="M94" s="49">
        <f t="shared" si="280"/>
        <v>4.0000000000000001E-3</v>
      </c>
      <c r="N94" s="50">
        <f t="shared" ref="N94:N95" si="326">H94*M94</f>
        <v>24</v>
      </c>
      <c r="O94" s="50">
        <f t="shared" ref="O94:O95" si="327">N94*1.25</f>
        <v>30</v>
      </c>
      <c r="P94" s="51">
        <f t="shared" ref="P94:P95" si="328">N94*1.4</f>
        <v>33.599999999999994</v>
      </c>
      <c r="Q94" s="50">
        <f t="shared" ref="Q94:Q95" si="329">O90</f>
        <v>25</v>
      </c>
      <c r="R94" s="52">
        <f t="shared" ref="R94:R95" si="330">N94/M94</f>
        <v>6000</v>
      </c>
      <c r="S94" s="52">
        <f t="shared" ref="S94:S95" si="331">O94/M94</f>
        <v>7500</v>
      </c>
      <c r="T94" s="52">
        <f t="shared" ref="T94:T95" si="332">P94/M94</f>
        <v>8399.9999999999982</v>
      </c>
      <c r="U94" s="181">
        <v>5500</v>
      </c>
      <c r="V94" s="45">
        <f ca="1">VLOOKUP(F94,AGE!F:J,4,FALSE)</f>
        <v>2007</v>
      </c>
      <c r="W94" s="45">
        <f ca="1">VLOOKUP(F94,AGE!F:J,5,FALSE)</f>
        <v>2000</v>
      </c>
      <c r="Y94" s="33">
        <f>IF(U94&gt;R94,"Attention dist basse assimilée &gt; distance officielle",)</f>
        <v>0</v>
      </c>
    </row>
    <row r="95" spans="1:25" x14ac:dyDescent="0.3">
      <c r="A95" s="33">
        <v>30</v>
      </c>
      <c r="B95" s="33">
        <v>40</v>
      </c>
      <c r="C95" s="33">
        <v>3</v>
      </c>
      <c r="D95" s="34" t="str">
        <f t="shared" si="235"/>
        <v>30403</v>
      </c>
      <c r="E95" s="33" t="s">
        <v>5</v>
      </c>
      <c r="F95" s="44" t="s">
        <v>17</v>
      </c>
      <c r="G95" s="45" t="s">
        <v>10</v>
      </c>
      <c r="H95" s="69">
        <v>1000</v>
      </c>
      <c r="I95" s="47">
        <f t="shared" si="324"/>
        <v>1100</v>
      </c>
      <c r="J95" s="47">
        <f t="shared" si="325"/>
        <v>900</v>
      </c>
      <c r="K95" s="68">
        <v>5</v>
      </c>
      <c r="L95" s="48" t="s">
        <v>32</v>
      </c>
      <c r="M95" s="49">
        <f t="shared" ref="M95" si="333">IF(L95="Sec/100m",((K95)/60/100),(IF(L95="Km/h",60/K95/1000,(IF(L95="Min/km",K95/1000,"")))))</f>
        <v>5.0000000000000001E-3</v>
      </c>
      <c r="N95" s="50">
        <f t="shared" si="326"/>
        <v>5</v>
      </c>
      <c r="O95" s="50">
        <f t="shared" si="327"/>
        <v>6.25</v>
      </c>
      <c r="P95" s="51">
        <f t="shared" si="328"/>
        <v>7</v>
      </c>
      <c r="Q95" s="50">
        <f t="shared" si="329"/>
        <v>4.6875</v>
      </c>
      <c r="R95" s="52">
        <f t="shared" si="330"/>
        <v>1000</v>
      </c>
      <c r="S95" s="52">
        <f t="shared" si="331"/>
        <v>1250</v>
      </c>
      <c r="T95" s="52">
        <f t="shared" si="332"/>
        <v>1400</v>
      </c>
      <c r="U95" s="67">
        <f>S91</f>
        <v>937.5</v>
      </c>
      <c r="V95" s="45">
        <f ca="1">VLOOKUP(F95,AGE!F:J,4,FALSE)</f>
        <v>2007</v>
      </c>
      <c r="W95" s="45">
        <f ca="1">VLOOKUP(F95,AGE!F:J,5,FALSE)</f>
        <v>2000</v>
      </c>
      <c r="Y95" s="33">
        <f t="shared" ref="Y95:Y158" si="334">IF(U95&gt;R95,"Attention dist basse assimilée &gt; distance officielle",)</f>
        <v>0</v>
      </c>
    </row>
    <row r="96" spans="1:25" x14ac:dyDescent="0.3">
      <c r="A96" s="33">
        <v>30</v>
      </c>
      <c r="B96" s="33">
        <v>40</v>
      </c>
      <c r="C96" s="33">
        <v>4</v>
      </c>
      <c r="D96" s="34" t="str">
        <f t="shared" si="235"/>
        <v>30404</v>
      </c>
      <c r="E96" s="33" t="s">
        <v>5</v>
      </c>
      <c r="F96" s="44" t="s">
        <v>17</v>
      </c>
      <c r="G96" s="55" t="s">
        <v>25</v>
      </c>
      <c r="H96" s="56">
        <f>SUM(H93:H95)</f>
        <v>8000</v>
      </c>
      <c r="I96" s="57">
        <f t="shared" ref="I96" si="335">SUM(I93:I95)</f>
        <v>8800</v>
      </c>
      <c r="J96" s="57">
        <f t="shared" ref="J96" si="336">SUM(J93:J95)</f>
        <v>7200</v>
      </c>
      <c r="K96" s="57"/>
      <c r="L96" s="58"/>
      <c r="M96" s="49" t="str">
        <f t="shared" si="280"/>
        <v/>
      </c>
      <c r="N96" s="60">
        <f t="shared" ref="N96" si="337">SUM(N93:N95)</f>
        <v>34</v>
      </c>
      <c r="O96" s="61">
        <f t="shared" ref="O96" si="338">SUM(O93:O95)</f>
        <v>42.5</v>
      </c>
      <c r="P96" s="62"/>
      <c r="Q96" s="62">
        <f t="shared" ref="Q96" si="339">SUM(Q93:Q95)</f>
        <v>34.375</v>
      </c>
      <c r="R96" s="64">
        <f>SUM(R93:R95)</f>
        <v>8000</v>
      </c>
      <c r="S96" s="64">
        <f>SUM(S93:S95)</f>
        <v>10000</v>
      </c>
      <c r="T96" s="65"/>
      <c r="U96" s="66">
        <f>SUM(U93:U95)</f>
        <v>7375</v>
      </c>
      <c r="V96" s="45">
        <f ca="1">VLOOKUP(F96,AGE!F:J,4,FALSE)</f>
        <v>2007</v>
      </c>
      <c r="W96" s="45">
        <f ca="1">VLOOKUP(F96,AGE!F:J,5,FALSE)</f>
        <v>2000</v>
      </c>
      <c r="Y96" s="33">
        <f t="shared" si="334"/>
        <v>0</v>
      </c>
    </row>
    <row r="97" spans="1:25" x14ac:dyDescent="0.3">
      <c r="A97" s="33">
        <v>30</v>
      </c>
      <c r="B97" s="33">
        <v>50</v>
      </c>
      <c r="C97" s="33">
        <v>1</v>
      </c>
      <c r="D97" s="34" t="str">
        <f t="shared" si="235"/>
        <v>30501</v>
      </c>
      <c r="E97" s="33" t="s">
        <v>5</v>
      </c>
      <c r="F97" s="44" t="s">
        <v>18</v>
      </c>
      <c r="G97" s="45" t="s">
        <v>10</v>
      </c>
      <c r="H97" s="69">
        <v>2500</v>
      </c>
      <c r="I97" s="47">
        <f>H97*1.1</f>
        <v>2750</v>
      </c>
      <c r="J97" s="47">
        <f>H97*0.9</f>
        <v>2250</v>
      </c>
      <c r="K97" s="68">
        <v>4.5</v>
      </c>
      <c r="L97" s="48" t="s">
        <v>32</v>
      </c>
      <c r="M97" s="49">
        <f t="shared" ref="M97" si="340">IF(L97="Sec/100m",((K97)/60/100),(IF(L97="Km/h",60/K97/1000,(IF(L97="Min/km",K97/1000,"")))))</f>
        <v>4.4999999999999997E-3</v>
      </c>
      <c r="N97" s="50">
        <f>H97*M97</f>
        <v>11.25</v>
      </c>
      <c r="O97" s="50">
        <f>N97*1.25</f>
        <v>14.0625</v>
      </c>
      <c r="P97" s="51">
        <f t="shared" ref="P97:P99" si="341">N97*1.4</f>
        <v>15.749999999999998</v>
      </c>
      <c r="Q97" s="50">
        <f>O93</f>
        <v>6.25</v>
      </c>
      <c r="R97" s="52">
        <f>N97/M97</f>
        <v>2500</v>
      </c>
      <c r="S97" s="52">
        <f>O97/M97</f>
        <v>3125.0000000000005</v>
      </c>
      <c r="T97" s="52">
        <f>P97/M97</f>
        <v>3500</v>
      </c>
      <c r="U97" s="67">
        <f>(N97*0.5)/M97</f>
        <v>1250</v>
      </c>
      <c r="V97" s="45">
        <f ca="1">VLOOKUP(F97,AGE!F:J,4,FALSE)</f>
        <v>2007</v>
      </c>
      <c r="W97" s="45">
        <f ca="1">VLOOKUP(F97,AGE!F:J,5,FALSE)</f>
        <v>1920</v>
      </c>
      <c r="Y97" s="33">
        <f t="shared" si="334"/>
        <v>0</v>
      </c>
    </row>
    <row r="98" spans="1:25" x14ac:dyDescent="0.3">
      <c r="A98" s="33">
        <v>30</v>
      </c>
      <c r="B98" s="33">
        <v>50</v>
      </c>
      <c r="C98" s="33">
        <v>2</v>
      </c>
      <c r="D98" s="34" t="str">
        <f t="shared" si="235"/>
        <v>30502</v>
      </c>
      <c r="E98" s="33" t="s">
        <v>5</v>
      </c>
      <c r="F98" s="44" t="s">
        <v>18</v>
      </c>
      <c r="G98" s="54" t="s">
        <v>13</v>
      </c>
      <c r="H98" s="69">
        <v>10000</v>
      </c>
      <c r="I98" s="47">
        <f t="shared" ref="I98:I99" si="342">H98*1.1</f>
        <v>11000</v>
      </c>
      <c r="J98" s="47">
        <f t="shared" ref="J98:J99" si="343">H98*0.9</f>
        <v>9000</v>
      </c>
      <c r="K98" s="47">
        <v>15</v>
      </c>
      <c r="L98" s="48" t="s">
        <v>28</v>
      </c>
      <c r="M98" s="49">
        <f t="shared" si="280"/>
        <v>4.0000000000000001E-3</v>
      </c>
      <c r="N98" s="50">
        <f t="shared" ref="N98:N99" si="344">H98*M98</f>
        <v>40</v>
      </c>
      <c r="O98" s="50">
        <f t="shared" ref="O98:O99" si="345">N98*1.25</f>
        <v>50</v>
      </c>
      <c r="P98" s="51">
        <f t="shared" si="341"/>
        <v>56</v>
      </c>
      <c r="Q98" s="50">
        <f t="shared" ref="Q98:Q99" si="346">O94</f>
        <v>30</v>
      </c>
      <c r="R98" s="52">
        <f t="shared" ref="R98:R99" si="347">N98/M98</f>
        <v>10000</v>
      </c>
      <c r="S98" s="52">
        <f t="shared" ref="S98:S99" si="348">O98/M98</f>
        <v>12500</v>
      </c>
      <c r="T98" s="52">
        <f t="shared" ref="T98:T99" si="349">P98/M98</f>
        <v>14000</v>
      </c>
      <c r="U98" s="67">
        <f t="shared" ref="U98:U99" si="350">(N98*0.5)/M98</f>
        <v>5000</v>
      </c>
      <c r="V98" s="45">
        <f ca="1">VLOOKUP(F98,AGE!F:J,4,FALSE)</f>
        <v>2007</v>
      </c>
      <c r="W98" s="45">
        <f ca="1">VLOOKUP(F98,AGE!F:J,5,FALSE)</f>
        <v>1920</v>
      </c>
      <c r="Y98" s="33">
        <f t="shared" si="334"/>
        <v>0</v>
      </c>
    </row>
    <row r="99" spans="1:25" x14ac:dyDescent="0.3">
      <c r="A99" s="33">
        <v>30</v>
      </c>
      <c r="B99" s="33">
        <v>50</v>
      </c>
      <c r="C99" s="33">
        <v>3</v>
      </c>
      <c r="D99" s="34" t="str">
        <f t="shared" si="235"/>
        <v>30503</v>
      </c>
      <c r="E99" s="33" t="s">
        <v>5</v>
      </c>
      <c r="F99" s="44" t="s">
        <v>18</v>
      </c>
      <c r="G99" s="45" t="s">
        <v>10</v>
      </c>
      <c r="H99" s="69">
        <v>1250</v>
      </c>
      <c r="I99" s="47">
        <f t="shared" si="342"/>
        <v>1375</v>
      </c>
      <c r="J99" s="47">
        <f t="shared" si="343"/>
        <v>1125</v>
      </c>
      <c r="K99" s="68">
        <v>4.5</v>
      </c>
      <c r="L99" s="48" t="s">
        <v>32</v>
      </c>
      <c r="M99" s="49">
        <f t="shared" si="280"/>
        <v>4.4999999999999997E-3</v>
      </c>
      <c r="N99" s="50">
        <f t="shared" si="344"/>
        <v>5.625</v>
      </c>
      <c r="O99" s="50">
        <f t="shared" si="345"/>
        <v>7.03125</v>
      </c>
      <c r="P99" s="51">
        <f t="shared" si="341"/>
        <v>7.8749999999999991</v>
      </c>
      <c r="Q99" s="50">
        <f t="shared" si="346"/>
        <v>6.25</v>
      </c>
      <c r="R99" s="52">
        <f t="shared" si="347"/>
        <v>1250</v>
      </c>
      <c r="S99" s="52">
        <f t="shared" si="348"/>
        <v>1562.5000000000002</v>
      </c>
      <c r="T99" s="52">
        <f t="shared" si="349"/>
        <v>1750</v>
      </c>
      <c r="U99" s="67">
        <f t="shared" si="350"/>
        <v>625</v>
      </c>
      <c r="V99" s="45">
        <f ca="1">VLOOKUP(F99,AGE!F:J,4,FALSE)</f>
        <v>2007</v>
      </c>
      <c r="W99" s="45">
        <f ca="1">VLOOKUP(F99,AGE!F:J,5,FALSE)</f>
        <v>1920</v>
      </c>
      <c r="Y99" s="33">
        <f t="shared" si="334"/>
        <v>0</v>
      </c>
    </row>
    <row r="100" spans="1:25" x14ac:dyDescent="0.3">
      <c r="A100" s="33">
        <v>30</v>
      </c>
      <c r="B100" s="33">
        <v>50</v>
      </c>
      <c r="C100" s="33">
        <v>4</v>
      </c>
      <c r="D100" s="34" t="str">
        <f t="shared" si="235"/>
        <v>30504</v>
      </c>
      <c r="E100" s="33" t="s">
        <v>5</v>
      </c>
      <c r="F100" s="44" t="s">
        <v>18</v>
      </c>
      <c r="G100" s="55" t="s">
        <v>25</v>
      </c>
      <c r="H100" s="56">
        <f>SUM(H97:H99)</f>
        <v>13750</v>
      </c>
      <c r="I100" s="57">
        <f t="shared" ref="I100" si="351">SUM(I97:I99)</f>
        <v>15125</v>
      </c>
      <c r="J100" s="57">
        <f t="shared" ref="J100" si="352">SUM(J97:J99)</f>
        <v>12375</v>
      </c>
      <c r="K100" s="57"/>
      <c r="L100" s="58"/>
      <c r="M100" s="49" t="str">
        <f t="shared" si="280"/>
        <v/>
      </c>
      <c r="N100" s="60">
        <f t="shared" ref="N100" si="353">SUM(N97:N99)</f>
        <v>56.875</v>
      </c>
      <c r="O100" s="61">
        <f t="shared" ref="O100" si="354">SUM(O97:O99)</f>
        <v>71.09375</v>
      </c>
      <c r="P100" s="62"/>
      <c r="Q100" s="62">
        <f t="shared" ref="Q100" si="355">SUM(Q97:Q99)</f>
        <v>42.5</v>
      </c>
      <c r="R100" s="64">
        <f>SUM(R97:R99)</f>
        <v>13750</v>
      </c>
      <c r="S100" s="64">
        <f>SUM(S97:S99)</f>
        <v>17187.5</v>
      </c>
      <c r="T100" s="65"/>
      <c r="U100" s="66">
        <f>SUM(U97:U99)</f>
        <v>6875</v>
      </c>
      <c r="V100" s="45">
        <f ca="1">VLOOKUP(F100,AGE!F:J,4,FALSE)</f>
        <v>2007</v>
      </c>
      <c r="W100" s="45">
        <f ca="1">VLOOKUP(F100,AGE!F:J,5,FALSE)</f>
        <v>1920</v>
      </c>
      <c r="Y100" s="33">
        <f t="shared" si="334"/>
        <v>0</v>
      </c>
    </row>
    <row r="101" spans="1:25" x14ac:dyDescent="0.3">
      <c r="A101" s="33">
        <v>30</v>
      </c>
      <c r="B101" s="33">
        <v>60</v>
      </c>
      <c r="C101" s="33">
        <v>1</v>
      </c>
      <c r="D101" s="34" t="str">
        <f t="shared" si="235"/>
        <v>30601</v>
      </c>
      <c r="E101" s="33" t="s">
        <v>5</v>
      </c>
      <c r="F101" s="44" t="s">
        <v>19</v>
      </c>
      <c r="G101" s="45" t="s">
        <v>10</v>
      </c>
      <c r="H101" s="69">
        <v>5000</v>
      </c>
      <c r="I101" s="47">
        <f>H101*1.1</f>
        <v>5500</v>
      </c>
      <c r="J101" s="47">
        <f>H101*0.9</f>
        <v>4500</v>
      </c>
      <c r="K101" s="68">
        <v>4.5</v>
      </c>
      <c r="L101" s="48" t="s">
        <v>32</v>
      </c>
      <c r="M101" s="49">
        <f t="shared" si="280"/>
        <v>4.4999999999999997E-3</v>
      </c>
      <c r="N101" s="50">
        <f>H101*M101</f>
        <v>22.5</v>
      </c>
      <c r="O101" s="50">
        <f>N101*1.25</f>
        <v>28.125</v>
      </c>
      <c r="P101" s="51">
        <f t="shared" ref="P101:P103" si="356">N101*1.4</f>
        <v>31.499999999999996</v>
      </c>
      <c r="Q101" s="50">
        <f>O97</f>
        <v>14.0625</v>
      </c>
      <c r="R101" s="52">
        <f>N101/M101</f>
        <v>5000</v>
      </c>
      <c r="S101" s="52">
        <f>O101/M101</f>
        <v>6250.0000000000009</v>
      </c>
      <c r="T101" s="52">
        <f>P101/M101</f>
        <v>7000</v>
      </c>
      <c r="U101" s="67">
        <f>S97</f>
        <v>3125.0000000000005</v>
      </c>
      <c r="V101" s="45">
        <f ca="1">VLOOKUP(F101,AGE!F:J,4,FALSE)</f>
        <v>2003</v>
      </c>
      <c r="W101" s="45">
        <f ca="1">VLOOKUP(F101,AGE!F:J,5,FALSE)</f>
        <v>1920</v>
      </c>
      <c r="Y101" s="33">
        <f t="shared" si="334"/>
        <v>0</v>
      </c>
    </row>
    <row r="102" spans="1:25" x14ac:dyDescent="0.3">
      <c r="A102" s="33">
        <v>30</v>
      </c>
      <c r="B102" s="33">
        <v>60</v>
      </c>
      <c r="C102" s="33">
        <v>2</v>
      </c>
      <c r="D102" s="34" t="str">
        <f t="shared" si="235"/>
        <v>30602</v>
      </c>
      <c r="E102" s="33" t="s">
        <v>5</v>
      </c>
      <c r="F102" s="44" t="s">
        <v>19</v>
      </c>
      <c r="G102" s="54" t="s">
        <v>13</v>
      </c>
      <c r="H102" s="69">
        <v>20000</v>
      </c>
      <c r="I102" s="47">
        <f t="shared" ref="I102:I103" si="357">H102*1.1</f>
        <v>22000</v>
      </c>
      <c r="J102" s="47">
        <f t="shared" ref="J102:J103" si="358">H102*0.9</f>
        <v>18000</v>
      </c>
      <c r="K102" s="47">
        <v>32</v>
      </c>
      <c r="L102" s="48" t="s">
        <v>28</v>
      </c>
      <c r="M102" s="49">
        <f t="shared" si="280"/>
        <v>1.8749999999999999E-3</v>
      </c>
      <c r="N102" s="50">
        <f t="shared" ref="N102:N103" si="359">H102*M102</f>
        <v>37.5</v>
      </c>
      <c r="O102" s="50">
        <f t="shared" ref="O102:O103" si="360">N102*1.25</f>
        <v>46.875</v>
      </c>
      <c r="P102" s="51">
        <f t="shared" si="356"/>
        <v>52.5</v>
      </c>
      <c r="Q102" s="50">
        <f t="shared" ref="Q102:Q103" si="361">O98</f>
        <v>50</v>
      </c>
      <c r="R102" s="52">
        <f t="shared" ref="R102:R103" si="362">N102/M102</f>
        <v>20000</v>
      </c>
      <c r="S102" s="52">
        <f t="shared" ref="S102:S103" si="363">O102/M102</f>
        <v>25000</v>
      </c>
      <c r="T102" s="52">
        <f t="shared" ref="T102:T103" si="364">P102/M102</f>
        <v>28000</v>
      </c>
      <c r="U102" s="67">
        <f>S98</f>
        <v>12500</v>
      </c>
      <c r="V102" s="45">
        <f ca="1">VLOOKUP(F102,AGE!F:J,4,FALSE)</f>
        <v>2003</v>
      </c>
      <c r="W102" s="45">
        <f ca="1">VLOOKUP(F102,AGE!F:J,5,FALSE)</f>
        <v>1920</v>
      </c>
      <c r="Y102" s="33">
        <f t="shared" si="334"/>
        <v>0</v>
      </c>
    </row>
    <row r="103" spans="1:25" x14ac:dyDescent="0.3">
      <c r="A103" s="33">
        <v>30</v>
      </c>
      <c r="B103" s="33">
        <v>60</v>
      </c>
      <c r="C103" s="33">
        <v>3</v>
      </c>
      <c r="D103" s="34" t="str">
        <f t="shared" si="235"/>
        <v>30603</v>
      </c>
      <c r="E103" s="33" t="s">
        <v>5</v>
      </c>
      <c r="F103" s="44" t="s">
        <v>19</v>
      </c>
      <c r="G103" s="45" t="s">
        <v>10</v>
      </c>
      <c r="H103" s="69">
        <v>2500</v>
      </c>
      <c r="I103" s="47">
        <f t="shared" si="357"/>
        <v>2750</v>
      </c>
      <c r="J103" s="47">
        <f t="shared" si="358"/>
        <v>2250</v>
      </c>
      <c r="K103" s="68">
        <v>4.5</v>
      </c>
      <c r="L103" s="48" t="s">
        <v>32</v>
      </c>
      <c r="M103" s="49">
        <f t="shared" si="280"/>
        <v>4.4999999999999997E-3</v>
      </c>
      <c r="N103" s="50">
        <f t="shared" si="359"/>
        <v>11.25</v>
      </c>
      <c r="O103" s="50">
        <f t="shared" si="360"/>
        <v>14.0625</v>
      </c>
      <c r="P103" s="51">
        <f t="shared" si="356"/>
        <v>15.749999999999998</v>
      </c>
      <c r="Q103" s="50">
        <f t="shared" si="361"/>
        <v>7.03125</v>
      </c>
      <c r="R103" s="52">
        <f t="shared" si="362"/>
        <v>2500</v>
      </c>
      <c r="S103" s="52">
        <f t="shared" si="363"/>
        <v>3125.0000000000005</v>
      </c>
      <c r="T103" s="52">
        <f t="shared" si="364"/>
        <v>3500</v>
      </c>
      <c r="U103" s="67">
        <f>S99</f>
        <v>1562.5000000000002</v>
      </c>
      <c r="V103" s="45">
        <f ca="1">VLOOKUP(F103,AGE!F:J,4,FALSE)</f>
        <v>2003</v>
      </c>
      <c r="W103" s="45">
        <f ca="1">VLOOKUP(F103,AGE!F:J,5,FALSE)</f>
        <v>1920</v>
      </c>
      <c r="Y103" s="33">
        <f t="shared" si="334"/>
        <v>0</v>
      </c>
    </row>
    <row r="104" spans="1:25" x14ac:dyDescent="0.3">
      <c r="A104" s="33">
        <v>30</v>
      </c>
      <c r="B104" s="33">
        <v>60</v>
      </c>
      <c r="C104" s="33">
        <v>4</v>
      </c>
      <c r="D104" s="34" t="str">
        <f t="shared" si="235"/>
        <v>30604</v>
      </c>
      <c r="E104" s="33" t="s">
        <v>5</v>
      </c>
      <c r="F104" s="44" t="s">
        <v>19</v>
      </c>
      <c r="G104" s="55" t="s">
        <v>25</v>
      </c>
      <c r="H104" s="56">
        <f>SUM(H101:H103)</f>
        <v>27500</v>
      </c>
      <c r="I104" s="57">
        <f t="shared" ref="I104" si="365">SUM(I101:I103)</f>
        <v>30250</v>
      </c>
      <c r="J104" s="57">
        <f t="shared" ref="J104" si="366">SUM(J101:J103)</f>
        <v>24750</v>
      </c>
      <c r="K104" s="57"/>
      <c r="L104" s="58"/>
      <c r="M104" s="49" t="str">
        <f t="shared" si="280"/>
        <v/>
      </c>
      <c r="N104" s="60">
        <f t="shared" ref="N104" si="367">SUM(N101:N103)</f>
        <v>71.25</v>
      </c>
      <c r="O104" s="61">
        <f t="shared" ref="O104" si="368">SUM(O101:O103)</f>
        <v>89.0625</v>
      </c>
      <c r="P104" s="62"/>
      <c r="Q104" s="62">
        <f t="shared" ref="Q104" si="369">SUM(Q101:Q103)</f>
        <v>71.09375</v>
      </c>
      <c r="R104" s="64">
        <f>SUM(R101:R103)</f>
        <v>27500</v>
      </c>
      <c r="S104" s="64">
        <f>SUM(S101:S103)</f>
        <v>34375</v>
      </c>
      <c r="T104" s="65"/>
      <c r="U104" s="66">
        <f>SUM(U101:U103)</f>
        <v>17187.5</v>
      </c>
      <c r="V104" s="45">
        <f ca="1">VLOOKUP(F104,AGE!F:J,4,FALSE)</f>
        <v>2003</v>
      </c>
      <c r="W104" s="45">
        <f ca="1">VLOOKUP(F104,AGE!F:J,5,FALSE)</f>
        <v>1920</v>
      </c>
      <c r="Y104" s="33">
        <f t="shared" si="334"/>
        <v>0</v>
      </c>
    </row>
    <row r="105" spans="1:25" x14ac:dyDescent="0.3">
      <c r="A105" s="33">
        <v>30</v>
      </c>
      <c r="B105" s="33">
        <v>70</v>
      </c>
      <c r="C105" s="33">
        <v>1</v>
      </c>
      <c r="D105" s="34" t="str">
        <f t="shared" si="235"/>
        <v>30701</v>
      </c>
      <c r="E105" s="33" t="s">
        <v>5</v>
      </c>
      <c r="F105" s="44" t="s">
        <v>20</v>
      </c>
      <c r="G105" s="45" t="s">
        <v>10</v>
      </c>
      <c r="H105" s="69">
        <v>10000</v>
      </c>
      <c r="I105" s="47">
        <f>H105*1.1</f>
        <v>11000</v>
      </c>
      <c r="J105" s="47">
        <f>H105*0.9</f>
        <v>9000</v>
      </c>
      <c r="K105" s="68">
        <v>4.5</v>
      </c>
      <c r="L105" s="48" t="s">
        <v>32</v>
      </c>
      <c r="M105" s="49">
        <f t="shared" si="280"/>
        <v>4.4999999999999997E-3</v>
      </c>
      <c r="N105" s="50">
        <f>H105*M105</f>
        <v>45</v>
      </c>
      <c r="O105" s="50">
        <f>N105*1.25</f>
        <v>56.25</v>
      </c>
      <c r="P105" s="51">
        <f t="shared" ref="P105:P107" si="370">N105*1.4</f>
        <v>62.999999999999993</v>
      </c>
      <c r="Q105" s="50">
        <f>O101</f>
        <v>28.125</v>
      </c>
      <c r="R105" s="52">
        <f>N105/M105</f>
        <v>10000</v>
      </c>
      <c r="S105" s="52">
        <f>O105/M105</f>
        <v>12500.000000000002</v>
      </c>
      <c r="T105" s="52">
        <f>P105/M105</f>
        <v>14000</v>
      </c>
      <c r="U105" s="67">
        <f>S101</f>
        <v>6250.0000000000009</v>
      </c>
      <c r="V105" s="45">
        <f ca="1">VLOOKUP(F105,AGE!F:J,4,FALSE)</f>
        <v>2001</v>
      </c>
      <c r="W105" s="45">
        <f ca="1">VLOOKUP(F105,AGE!F:J,5,FALSE)</f>
        <v>1920</v>
      </c>
      <c r="Y105" s="33">
        <f t="shared" si="334"/>
        <v>0</v>
      </c>
    </row>
    <row r="106" spans="1:25" x14ac:dyDescent="0.3">
      <c r="A106" s="33">
        <v>30</v>
      </c>
      <c r="B106" s="33">
        <v>70</v>
      </c>
      <c r="C106" s="33">
        <v>2</v>
      </c>
      <c r="D106" s="34" t="str">
        <f t="shared" si="235"/>
        <v>30702</v>
      </c>
      <c r="E106" s="33" t="s">
        <v>5</v>
      </c>
      <c r="F106" s="44" t="s">
        <v>20</v>
      </c>
      <c r="G106" s="54" t="s">
        <v>13</v>
      </c>
      <c r="H106" s="69">
        <v>40000</v>
      </c>
      <c r="I106" s="47">
        <f t="shared" ref="I106:I107" si="371">H106*1.1</f>
        <v>44000</v>
      </c>
      <c r="J106" s="47">
        <f t="shared" ref="J106:J107" si="372">H106*0.9</f>
        <v>36000</v>
      </c>
      <c r="K106" s="47">
        <v>32</v>
      </c>
      <c r="L106" s="48" t="s">
        <v>28</v>
      </c>
      <c r="M106" s="49">
        <f t="shared" si="280"/>
        <v>1.8749999999999999E-3</v>
      </c>
      <c r="N106" s="50">
        <f t="shared" ref="N106:N107" si="373">H106*M106</f>
        <v>75</v>
      </c>
      <c r="O106" s="50">
        <f t="shared" ref="O106:O107" si="374">N106*1.25</f>
        <v>93.75</v>
      </c>
      <c r="P106" s="51">
        <f t="shared" si="370"/>
        <v>105</v>
      </c>
      <c r="Q106" s="50">
        <f t="shared" ref="Q106:Q107" si="375">O102</f>
        <v>46.875</v>
      </c>
      <c r="R106" s="52">
        <f t="shared" ref="R106:R107" si="376">N106/M106</f>
        <v>40000</v>
      </c>
      <c r="S106" s="52">
        <f t="shared" ref="S106:S107" si="377">O106/M106</f>
        <v>50000</v>
      </c>
      <c r="T106" s="52">
        <f t="shared" ref="T106:T107" si="378">P106/M106</f>
        <v>56000</v>
      </c>
      <c r="U106" s="67">
        <f>S102</f>
        <v>25000</v>
      </c>
      <c r="V106" s="45">
        <f ca="1">VLOOKUP(F106,AGE!F:J,4,FALSE)</f>
        <v>2001</v>
      </c>
      <c r="W106" s="45">
        <f ca="1">VLOOKUP(F106,AGE!F:J,5,FALSE)</f>
        <v>1920</v>
      </c>
      <c r="Y106" s="33">
        <f t="shared" si="334"/>
        <v>0</v>
      </c>
    </row>
    <row r="107" spans="1:25" x14ac:dyDescent="0.3">
      <c r="A107" s="33">
        <v>30</v>
      </c>
      <c r="B107" s="33">
        <v>70</v>
      </c>
      <c r="C107" s="33">
        <v>3</v>
      </c>
      <c r="D107" s="34" t="str">
        <f t="shared" si="235"/>
        <v>30703</v>
      </c>
      <c r="E107" s="33" t="s">
        <v>5</v>
      </c>
      <c r="F107" s="44" t="s">
        <v>20</v>
      </c>
      <c r="G107" s="45" t="s">
        <v>10</v>
      </c>
      <c r="H107" s="69">
        <v>5000</v>
      </c>
      <c r="I107" s="47">
        <f t="shared" si="371"/>
        <v>5500</v>
      </c>
      <c r="J107" s="47">
        <f t="shared" si="372"/>
        <v>4500</v>
      </c>
      <c r="K107" s="68">
        <v>4.5</v>
      </c>
      <c r="L107" s="48" t="s">
        <v>32</v>
      </c>
      <c r="M107" s="49">
        <f t="shared" si="280"/>
        <v>4.4999999999999997E-3</v>
      </c>
      <c r="N107" s="50">
        <f t="shared" si="373"/>
        <v>22.5</v>
      </c>
      <c r="O107" s="50">
        <f t="shared" si="374"/>
        <v>28.125</v>
      </c>
      <c r="P107" s="51">
        <f t="shared" si="370"/>
        <v>31.499999999999996</v>
      </c>
      <c r="Q107" s="50">
        <f t="shared" si="375"/>
        <v>14.0625</v>
      </c>
      <c r="R107" s="52">
        <f t="shared" si="376"/>
        <v>5000</v>
      </c>
      <c r="S107" s="52">
        <f t="shared" si="377"/>
        <v>6250.0000000000009</v>
      </c>
      <c r="T107" s="52">
        <f t="shared" si="378"/>
        <v>7000</v>
      </c>
      <c r="U107" s="67">
        <f>S103</f>
        <v>3125.0000000000005</v>
      </c>
      <c r="V107" s="45">
        <f ca="1">VLOOKUP(F107,AGE!F:J,4,FALSE)</f>
        <v>2001</v>
      </c>
      <c r="W107" s="45">
        <f ca="1">VLOOKUP(F107,AGE!F:J,5,FALSE)</f>
        <v>1920</v>
      </c>
      <c r="Y107" s="33">
        <f t="shared" si="334"/>
        <v>0</v>
      </c>
    </row>
    <row r="108" spans="1:25" x14ac:dyDescent="0.3">
      <c r="A108" s="33">
        <v>30</v>
      </c>
      <c r="B108" s="33">
        <v>70</v>
      </c>
      <c r="C108" s="33">
        <v>4</v>
      </c>
      <c r="D108" s="34" t="str">
        <f t="shared" si="235"/>
        <v>30704</v>
      </c>
      <c r="E108" s="33" t="s">
        <v>5</v>
      </c>
      <c r="F108" s="44" t="s">
        <v>20</v>
      </c>
      <c r="G108" s="55" t="s">
        <v>25</v>
      </c>
      <c r="H108" s="56">
        <f>SUM(H105:H107)</f>
        <v>55000</v>
      </c>
      <c r="I108" s="57">
        <f t="shared" ref="I108" si="379">SUM(I105:I107)</f>
        <v>60500</v>
      </c>
      <c r="J108" s="57">
        <f t="shared" ref="J108" si="380">SUM(J105:J107)</f>
        <v>49500</v>
      </c>
      <c r="K108" s="57"/>
      <c r="L108" s="58"/>
      <c r="M108" s="49" t="str">
        <f t="shared" si="280"/>
        <v/>
      </c>
      <c r="N108" s="60">
        <f t="shared" ref="N108" si="381">SUM(N105:N107)</f>
        <v>142.5</v>
      </c>
      <c r="O108" s="61">
        <f t="shared" ref="O108" si="382">SUM(O105:O107)</f>
        <v>178.125</v>
      </c>
      <c r="P108" s="62"/>
      <c r="Q108" s="62">
        <f t="shared" ref="Q108" si="383">SUM(Q105:Q107)</f>
        <v>89.0625</v>
      </c>
      <c r="R108" s="64">
        <f>SUM(R105:R107)</f>
        <v>55000</v>
      </c>
      <c r="S108" s="64">
        <f>SUM(S105:S107)</f>
        <v>68750</v>
      </c>
      <c r="T108" s="65"/>
      <c r="U108" s="66">
        <f>SUM(U105:U107)</f>
        <v>34375</v>
      </c>
      <c r="V108" s="45">
        <f ca="1">VLOOKUP(F108,AGE!F:J,4,FALSE)</f>
        <v>2001</v>
      </c>
      <c r="W108" s="45">
        <f ca="1">VLOOKUP(F108,AGE!F:J,5,FALSE)</f>
        <v>1920</v>
      </c>
      <c r="Y108" s="33">
        <f t="shared" si="334"/>
        <v>0</v>
      </c>
    </row>
    <row r="109" spans="1:25" x14ac:dyDescent="0.3">
      <c r="A109" s="33">
        <v>30</v>
      </c>
      <c r="B109" s="33">
        <v>80</v>
      </c>
      <c r="C109" s="33">
        <v>1</v>
      </c>
      <c r="D109" s="34" t="str">
        <f t="shared" si="235"/>
        <v>30801</v>
      </c>
      <c r="E109" s="33" t="s">
        <v>5</v>
      </c>
      <c r="F109" s="44" t="s">
        <v>21</v>
      </c>
      <c r="G109" s="45" t="s">
        <v>10</v>
      </c>
      <c r="H109" s="69">
        <v>20000</v>
      </c>
      <c r="I109" s="47">
        <f>H109*1.1</f>
        <v>22000</v>
      </c>
      <c r="J109" s="47">
        <f>H109*0.9</f>
        <v>18000</v>
      </c>
      <c r="K109" s="68">
        <v>4.5</v>
      </c>
      <c r="L109" s="48" t="s">
        <v>32</v>
      </c>
      <c r="M109" s="49">
        <f t="shared" si="280"/>
        <v>4.4999999999999997E-3</v>
      </c>
      <c r="N109" s="50">
        <f>H109*M109</f>
        <v>90</v>
      </c>
      <c r="O109" s="50">
        <f>N109*1.25</f>
        <v>112.5</v>
      </c>
      <c r="P109" s="51"/>
      <c r="Q109" s="50">
        <f>O105</f>
        <v>56.25</v>
      </c>
      <c r="R109" s="52">
        <f>N109/M109</f>
        <v>20000</v>
      </c>
      <c r="S109" s="52">
        <f>O109/M109</f>
        <v>25000.000000000004</v>
      </c>
      <c r="T109" s="52">
        <f>P109/M109</f>
        <v>0</v>
      </c>
      <c r="U109" s="67">
        <f>S105</f>
        <v>12500.000000000002</v>
      </c>
      <c r="V109" s="45">
        <f ca="1">VLOOKUP(F109,AGE!F:J,4,FALSE)</f>
        <v>2001</v>
      </c>
      <c r="W109" s="45">
        <f ca="1">VLOOKUP(F109,AGE!F:J,5,FALSE)</f>
        <v>1920</v>
      </c>
      <c r="Y109" s="33">
        <f t="shared" si="334"/>
        <v>0</v>
      </c>
    </row>
    <row r="110" spans="1:25" x14ac:dyDescent="0.3">
      <c r="A110" s="33">
        <v>30</v>
      </c>
      <c r="B110" s="33">
        <v>80</v>
      </c>
      <c r="C110" s="33">
        <v>2</v>
      </c>
      <c r="D110" s="34" t="str">
        <f t="shared" si="235"/>
        <v>30802</v>
      </c>
      <c r="E110" s="33" t="s">
        <v>5</v>
      </c>
      <c r="F110" s="44" t="s">
        <v>21</v>
      </c>
      <c r="G110" s="54" t="s">
        <v>13</v>
      </c>
      <c r="H110" s="69">
        <v>80000</v>
      </c>
      <c r="I110" s="47">
        <f t="shared" ref="I110:I111" si="384">H110*1.1</f>
        <v>88000</v>
      </c>
      <c r="J110" s="47">
        <f t="shared" ref="J110:J111" si="385">H110*0.9</f>
        <v>72000</v>
      </c>
      <c r="K110" s="47">
        <v>32</v>
      </c>
      <c r="L110" s="48" t="s">
        <v>28</v>
      </c>
      <c r="M110" s="49">
        <f t="shared" si="280"/>
        <v>1.8749999999999999E-3</v>
      </c>
      <c r="N110" s="50">
        <f>H110*M110</f>
        <v>150</v>
      </c>
      <c r="O110" s="50">
        <f t="shared" ref="O110:O111" si="386">N110*1.25</f>
        <v>187.5</v>
      </c>
      <c r="P110" s="51"/>
      <c r="Q110" s="50">
        <f t="shared" ref="Q110:Q111" si="387">O106</f>
        <v>93.75</v>
      </c>
      <c r="R110" s="52">
        <f t="shared" ref="R110:R111" si="388">N110/M110</f>
        <v>80000</v>
      </c>
      <c r="S110" s="52">
        <f t="shared" ref="S110:S111" si="389">O110/M110</f>
        <v>100000</v>
      </c>
      <c r="T110" s="52">
        <f t="shared" ref="T110:T111" si="390">P110/M110</f>
        <v>0</v>
      </c>
      <c r="U110" s="67">
        <f>S106</f>
        <v>50000</v>
      </c>
      <c r="V110" s="45">
        <f ca="1">VLOOKUP(F110,AGE!F:J,4,FALSE)</f>
        <v>2001</v>
      </c>
      <c r="W110" s="45">
        <f ca="1">VLOOKUP(F110,AGE!F:J,5,FALSE)</f>
        <v>1920</v>
      </c>
      <c r="Y110" s="33">
        <f t="shared" si="334"/>
        <v>0</v>
      </c>
    </row>
    <row r="111" spans="1:25" x14ac:dyDescent="0.3">
      <c r="A111" s="33">
        <v>30</v>
      </c>
      <c r="B111" s="33">
        <v>80</v>
      </c>
      <c r="C111" s="33">
        <v>3</v>
      </c>
      <c r="D111" s="34" t="str">
        <f t="shared" si="235"/>
        <v>30803</v>
      </c>
      <c r="E111" s="33" t="s">
        <v>5</v>
      </c>
      <c r="F111" s="44" t="s">
        <v>21</v>
      </c>
      <c r="G111" s="45" t="s">
        <v>10</v>
      </c>
      <c r="H111" s="69">
        <v>10000</v>
      </c>
      <c r="I111" s="47">
        <f t="shared" si="384"/>
        <v>11000</v>
      </c>
      <c r="J111" s="47">
        <f t="shared" si="385"/>
        <v>9000</v>
      </c>
      <c r="K111" s="68">
        <v>4.5</v>
      </c>
      <c r="L111" s="48" t="s">
        <v>32</v>
      </c>
      <c r="M111" s="49">
        <f t="shared" si="280"/>
        <v>4.4999999999999997E-3</v>
      </c>
      <c r="N111" s="50">
        <f t="shared" ref="N111" si="391">H111*M111</f>
        <v>45</v>
      </c>
      <c r="O111" s="50">
        <f t="shared" si="386"/>
        <v>56.25</v>
      </c>
      <c r="P111" s="51"/>
      <c r="Q111" s="50">
        <f t="shared" si="387"/>
        <v>28.125</v>
      </c>
      <c r="R111" s="52">
        <f t="shared" si="388"/>
        <v>10000</v>
      </c>
      <c r="S111" s="52">
        <f t="shared" si="389"/>
        <v>12500.000000000002</v>
      </c>
      <c r="T111" s="52">
        <f t="shared" si="390"/>
        <v>0</v>
      </c>
      <c r="U111" s="67">
        <f>S107</f>
        <v>6250.0000000000009</v>
      </c>
      <c r="V111" s="45">
        <f ca="1">VLOOKUP(F111,AGE!F:J,4,FALSE)</f>
        <v>2001</v>
      </c>
      <c r="W111" s="45">
        <f ca="1">VLOOKUP(F111,AGE!F:J,5,FALSE)</f>
        <v>1920</v>
      </c>
      <c r="Y111" s="33">
        <f t="shared" si="334"/>
        <v>0</v>
      </c>
    </row>
    <row r="112" spans="1:25" x14ac:dyDescent="0.3">
      <c r="A112" s="33">
        <v>30</v>
      </c>
      <c r="B112" s="33">
        <v>80</v>
      </c>
      <c r="C112" s="33">
        <v>4</v>
      </c>
      <c r="D112" s="34" t="str">
        <f t="shared" si="235"/>
        <v>30804</v>
      </c>
      <c r="E112" s="33" t="s">
        <v>5</v>
      </c>
      <c r="F112" s="44" t="s">
        <v>21</v>
      </c>
      <c r="G112" s="55" t="s">
        <v>25</v>
      </c>
      <c r="H112" s="56">
        <f>SUM(H109:H111)</f>
        <v>110000</v>
      </c>
      <c r="I112" s="57">
        <f t="shared" ref="I112" si="392">SUM(I109:I111)</f>
        <v>121000</v>
      </c>
      <c r="J112" s="57">
        <f t="shared" ref="J112" si="393">SUM(J109:J111)</f>
        <v>99000</v>
      </c>
      <c r="K112" s="57"/>
      <c r="L112" s="58"/>
      <c r="M112" s="49" t="str">
        <f t="shared" si="280"/>
        <v/>
      </c>
      <c r="N112" s="60">
        <f t="shared" ref="N112" si="394">SUM(N109:N111)</f>
        <v>285</v>
      </c>
      <c r="O112" s="61">
        <f t="shared" ref="O112" si="395">SUM(O109:O111)</f>
        <v>356.25</v>
      </c>
      <c r="P112" s="62"/>
      <c r="Q112" s="62">
        <f t="shared" ref="Q112" si="396">SUM(Q109:Q111)</f>
        <v>178.125</v>
      </c>
      <c r="R112" s="64">
        <f>SUM(R109:R111)</f>
        <v>110000</v>
      </c>
      <c r="S112" s="64">
        <f>SUM(S109:S111)</f>
        <v>137500</v>
      </c>
      <c r="T112" s="65"/>
      <c r="U112" s="66">
        <f>SUM(U109:U111)</f>
        <v>68750</v>
      </c>
      <c r="V112" s="45">
        <f ca="1">VLOOKUP(F112,AGE!F:J,4,FALSE)</f>
        <v>2001</v>
      </c>
      <c r="W112" s="45">
        <f ca="1">VLOOKUP(F112,AGE!F:J,5,FALSE)</f>
        <v>1920</v>
      </c>
      <c r="Y112" s="33">
        <f t="shared" si="334"/>
        <v>0</v>
      </c>
    </row>
    <row r="113" spans="1:25" x14ac:dyDescent="0.3">
      <c r="A113" s="33">
        <v>30</v>
      </c>
      <c r="B113" s="33">
        <v>90</v>
      </c>
      <c r="C113" s="33">
        <v>1</v>
      </c>
      <c r="D113" s="34" t="str">
        <f t="shared" si="235"/>
        <v>30901</v>
      </c>
      <c r="E113" s="33" t="s">
        <v>5</v>
      </c>
      <c r="F113" s="44" t="s">
        <v>22</v>
      </c>
      <c r="G113" s="45" t="s">
        <v>10</v>
      </c>
      <c r="H113" s="69">
        <v>20000</v>
      </c>
      <c r="I113" s="47">
        <f>H113*1.1</f>
        <v>22000</v>
      </c>
      <c r="J113" s="47">
        <f>H113*0.9</f>
        <v>18000</v>
      </c>
      <c r="K113" s="68">
        <v>4.5</v>
      </c>
      <c r="L113" s="48" t="s">
        <v>32</v>
      </c>
      <c r="M113" s="49">
        <f t="shared" si="280"/>
        <v>4.4999999999999997E-3</v>
      </c>
      <c r="N113" s="50">
        <f>H113*M113</f>
        <v>90</v>
      </c>
      <c r="O113" s="50">
        <f>N113*1.25</f>
        <v>112.5</v>
      </c>
      <c r="P113" s="51"/>
      <c r="Q113" s="50">
        <f>O109</f>
        <v>112.5</v>
      </c>
      <c r="R113" s="52">
        <f>N113/M113</f>
        <v>20000</v>
      </c>
      <c r="S113" s="52">
        <f>O113/M113</f>
        <v>25000.000000000004</v>
      </c>
      <c r="T113" s="52">
        <f>P113/M113</f>
        <v>0</v>
      </c>
      <c r="U113" s="181">
        <f>(N113*0.75)/M113</f>
        <v>15000.000000000002</v>
      </c>
      <c r="V113" s="45">
        <f ca="1">VLOOKUP(F113,AGE!F:J,4,FALSE)</f>
        <v>2001</v>
      </c>
      <c r="W113" s="45">
        <f ca="1">VLOOKUP(F113,AGE!F:J,5,FALSE)</f>
        <v>1920</v>
      </c>
      <c r="Y113" s="33">
        <f t="shared" si="334"/>
        <v>0</v>
      </c>
    </row>
    <row r="114" spans="1:25" x14ac:dyDescent="0.3">
      <c r="A114" s="33">
        <v>30</v>
      </c>
      <c r="B114" s="33">
        <v>90</v>
      </c>
      <c r="C114" s="33">
        <v>2</v>
      </c>
      <c r="D114" s="34" t="str">
        <f t="shared" si="235"/>
        <v>30902</v>
      </c>
      <c r="E114" s="33" t="s">
        <v>5</v>
      </c>
      <c r="F114" s="44" t="s">
        <v>22</v>
      </c>
      <c r="G114" s="54" t="s">
        <v>13</v>
      </c>
      <c r="H114" s="69">
        <v>120000</v>
      </c>
      <c r="I114" s="47">
        <f t="shared" ref="I114:I115" si="397">H114*1.1</f>
        <v>132000</v>
      </c>
      <c r="J114" s="47">
        <f t="shared" ref="J114:J115" si="398">H114*0.9</f>
        <v>108000</v>
      </c>
      <c r="K114" s="47">
        <v>32</v>
      </c>
      <c r="L114" s="48" t="s">
        <v>28</v>
      </c>
      <c r="M114" s="49">
        <f t="shared" si="280"/>
        <v>1.8749999999999999E-3</v>
      </c>
      <c r="N114" s="50">
        <f t="shared" ref="N114:N115" si="399">H114*M114</f>
        <v>225</v>
      </c>
      <c r="O114" s="50">
        <f t="shared" ref="O114:O115" si="400">N114*1.25</f>
        <v>281.25</v>
      </c>
      <c r="P114" s="51"/>
      <c r="Q114" s="50">
        <f t="shared" ref="Q114:Q115" si="401">O110</f>
        <v>187.5</v>
      </c>
      <c r="R114" s="52">
        <f t="shared" ref="R114:R115" si="402">N114/M114</f>
        <v>120000</v>
      </c>
      <c r="S114" s="52">
        <f t="shared" ref="S114:S115" si="403">O114/M114</f>
        <v>150000</v>
      </c>
      <c r="T114" s="52">
        <f t="shared" ref="T114:T115" si="404">P114/M114</f>
        <v>0</v>
      </c>
      <c r="U114" s="181">
        <f t="shared" ref="U114:U115" si="405">(N114*0.75)/M114</f>
        <v>90000</v>
      </c>
      <c r="V114" s="45">
        <f ca="1">VLOOKUP(F114,AGE!F:J,4,FALSE)</f>
        <v>2001</v>
      </c>
      <c r="W114" s="45">
        <f ca="1">VLOOKUP(F114,AGE!F:J,5,FALSE)</f>
        <v>1920</v>
      </c>
      <c r="Y114" s="33">
        <f t="shared" si="334"/>
        <v>0</v>
      </c>
    </row>
    <row r="115" spans="1:25" x14ac:dyDescent="0.3">
      <c r="A115" s="33">
        <v>30</v>
      </c>
      <c r="B115" s="33">
        <v>90</v>
      </c>
      <c r="C115" s="33">
        <v>3</v>
      </c>
      <c r="D115" s="34" t="str">
        <f t="shared" si="235"/>
        <v>30903</v>
      </c>
      <c r="E115" s="33" t="s">
        <v>5</v>
      </c>
      <c r="F115" s="44" t="s">
        <v>22</v>
      </c>
      <c r="G115" s="45" t="s">
        <v>10</v>
      </c>
      <c r="H115" s="69">
        <v>20000</v>
      </c>
      <c r="I115" s="47">
        <f t="shared" si="397"/>
        <v>22000</v>
      </c>
      <c r="J115" s="47">
        <f t="shared" si="398"/>
        <v>18000</v>
      </c>
      <c r="K115" s="68">
        <v>4.5</v>
      </c>
      <c r="L115" s="48" t="s">
        <v>32</v>
      </c>
      <c r="M115" s="49">
        <f t="shared" si="280"/>
        <v>4.4999999999999997E-3</v>
      </c>
      <c r="N115" s="50">
        <f t="shared" si="399"/>
        <v>90</v>
      </c>
      <c r="O115" s="50">
        <f t="shared" si="400"/>
        <v>112.5</v>
      </c>
      <c r="P115" s="51"/>
      <c r="Q115" s="50">
        <f t="shared" si="401"/>
        <v>56.25</v>
      </c>
      <c r="R115" s="52">
        <f t="shared" si="402"/>
        <v>20000</v>
      </c>
      <c r="S115" s="52">
        <f t="shared" si="403"/>
        <v>25000.000000000004</v>
      </c>
      <c r="T115" s="52">
        <f t="shared" si="404"/>
        <v>0</v>
      </c>
      <c r="U115" s="181">
        <f t="shared" si="405"/>
        <v>15000.000000000002</v>
      </c>
      <c r="V115" s="45">
        <f ca="1">VLOOKUP(F115,AGE!F:J,4,FALSE)</f>
        <v>2001</v>
      </c>
      <c r="W115" s="45">
        <f ca="1">VLOOKUP(F115,AGE!F:J,5,FALSE)</f>
        <v>1920</v>
      </c>
      <c r="Y115" s="33">
        <f t="shared" si="334"/>
        <v>0</v>
      </c>
    </row>
    <row r="116" spans="1:25" x14ac:dyDescent="0.3">
      <c r="A116" s="33">
        <v>30</v>
      </c>
      <c r="B116" s="33">
        <v>90</v>
      </c>
      <c r="C116" s="33">
        <v>4</v>
      </c>
      <c r="D116" s="34" t="str">
        <f t="shared" si="235"/>
        <v>30904</v>
      </c>
      <c r="E116" s="33" t="s">
        <v>5</v>
      </c>
      <c r="F116" s="44" t="s">
        <v>22</v>
      </c>
      <c r="G116" s="55" t="s">
        <v>25</v>
      </c>
      <c r="H116" s="56">
        <f>SUM(H113:H115)</f>
        <v>160000</v>
      </c>
      <c r="I116" s="57">
        <f t="shared" ref="I116" si="406">SUM(I113:I115)</f>
        <v>176000</v>
      </c>
      <c r="J116" s="57">
        <f t="shared" ref="J116" si="407">SUM(J113:J115)</f>
        <v>144000</v>
      </c>
      <c r="K116" s="57"/>
      <c r="L116" s="58"/>
      <c r="M116" s="49" t="str">
        <f t="shared" si="280"/>
        <v/>
      </c>
      <c r="N116" s="60">
        <f t="shared" ref="N116" si="408">SUM(N113:N115)</f>
        <v>405</v>
      </c>
      <c r="O116" s="61">
        <f t="shared" ref="O116" si="409">SUM(O113:O115)</f>
        <v>506.25</v>
      </c>
      <c r="P116" s="62"/>
      <c r="Q116" s="62">
        <f t="shared" ref="Q116" si="410">SUM(Q113:Q115)</f>
        <v>356.25</v>
      </c>
      <c r="R116" s="64">
        <f>SUM(R113:R115)</f>
        <v>160000</v>
      </c>
      <c r="S116" s="64">
        <f>SUM(S113:S115)</f>
        <v>200000</v>
      </c>
      <c r="T116" s="65"/>
      <c r="U116" s="66">
        <f>SUM(U113:U115)</f>
        <v>120000</v>
      </c>
      <c r="V116" s="45">
        <f ca="1">VLOOKUP(F116,AGE!F:J,4,FALSE)</f>
        <v>2001</v>
      </c>
      <c r="W116" s="45">
        <f ca="1">VLOOKUP(F116,AGE!F:J,5,FALSE)</f>
        <v>1920</v>
      </c>
      <c r="Y116" s="33">
        <f t="shared" si="334"/>
        <v>0</v>
      </c>
    </row>
    <row r="117" spans="1:25" x14ac:dyDescent="0.3">
      <c r="A117" s="33">
        <v>40</v>
      </c>
      <c r="B117" s="33">
        <v>10</v>
      </c>
      <c r="C117" s="33">
        <v>1</v>
      </c>
      <c r="D117" s="34" t="str">
        <f t="shared" si="235"/>
        <v>40101</v>
      </c>
      <c r="E117" s="33" t="s">
        <v>3</v>
      </c>
      <c r="F117" s="44" t="s">
        <v>14</v>
      </c>
      <c r="G117" s="45" t="s">
        <v>10</v>
      </c>
      <c r="H117" s="69">
        <v>250</v>
      </c>
      <c r="I117" s="47">
        <f>H117*1.1</f>
        <v>275</v>
      </c>
      <c r="J117" s="47">
        <f>H117*0.9</f>
        <v>225</v>
      </c>
      <c r="K117" s="68">
        <v>5</v>
      </c>
      <c r="L117" s="48" t="s">
        <v>32</v>
      </c>
      <c r="M117" s="49">
        <f t="shared" si="280"/>
        <v>5.0000000000000001E-3</v>
      </c>
      <c r="N117" s="50">
        <f>H117*M117</f>
        <v>1.25</v>
      </c>
      <c r="O117" s="50">
        <f>N117*1.25</f>
        <v>1.5625</v>
      </c>
      <c r="P117" s="51">
        <f>N117*1.4</f>
        <v>1.75</v>
      </c>
      <c r="Q117" s="50"/>
      <c r="R117" s="52">
        <f>N117/M117</f>
        <v>250</v>
      </c>
      <c r="S117" s="52">
        <f>O117/M117</f>
        <v>312.5</v>
      </c>
      <c r="T117" s="52">
        <f>P117/M117</f>
        <v>350</v>
      </c>
      <c r="U117" s="53">
        <f>+R117/2</f>
        <v>125</v>
      </c>
      <c r="V117" s="45">
        <f ca="1">VLOOKUP(F117,AGE!F:J,4,FALSE)</f>
        <v>2013</v>
      </c>
      <c r="W117" s="45">
        <f ca="1">VLOOKUP(F117,AGE!F:J,5,FALSE)</f>
        <v>2010</v>
      </c>
      <c r="Y117" s="33">
        <f t="shared" si="334"/>
        <v>0</v>
      </c>
    </row>
    <row r="118" spans="1:25" x14ac:dyDescent="0.3">
      <c r="A118" s="33">
        <v>40</v>
      </c>
      <c r="B118" s="33">
        <v>10</v>
      </c>
      <c r="C118" s="33">
        <v>2</v>
      </c>
      <c r="D118" s="34" t="str">
        <f t="shared" si="235"/>
        <v>40102</v>
      </c>
      <c r="E118" s="33" t="s">
        <v>3</v>
      </c>
      <c r="F118" s="44" t="s">
        <v>14</v>
      </c>
      <c r="G118" s="45" t="s">
        <v>9</v>
      </c>
      <c r="H118" s="69">
        <v>1000</v>
      </c>
      <c r="I118" s="47">
        <f t="shared" ref="I118:I119" si="411">H118*1.1</f>
        <v>1100</v>
      </c>
      <c r="J118" s="47">
        <f t="shared" ref="J118:J119" si="412">H118*0.9</f>
        <v>900</v>
      </c>
      <c r="K118" s="47">
        <v>15</v>
      </c>
      <c r="L118" s="48" t="s">
        <v>28</v>
      </c>
      <c r="M118" s="49">
        <f t="shared" si="280"/>
        <v>4.0000000000000001E-3</v>
      </c>
      <c r="N118" s="50">
        <f t="shared" ref="N118:N119" si="413">H118*M118</f>
        <v>4</v>
      </c>
      <c r="O118" s="50">
        <f t="shared" ref="O118:O119" si="414">N118*1.25</f>
        <v>5</v>
      </c>
      <c r="P118" s="51">
        <f t="shared" ref="P118:P119" si="415">N118*1.4</f>
        <v>5.6</v>
      </c>
      <c r="Q118" s="50"/>
      <c r="R118" s="52">
        <f t="shared" ref="R118:R119" si="416">N118/M118</f>
        <v>1000</v>
      </c>
      <c r="S118" s="52">
        <f t="shared" ref="S118:S119" si="417">O118/M118</f>
        <v>1250</v>
      </c>
      <c r="T118" s="52">
        <f t="shared" ref="T118:T119" si="418">P118/M118</f>
        <v>1399.9999999999998</v>
      </c>
      <c r="U118" s="53">
        <f>+R118/2</f>
        <v>500</v>
      </c>
      <c r="V118" s="45">
        <f ca="1">VLOOKUP(F118,AGE!F:J,4,FALSE)</f>
        <v>2013</v>
      </c>
      <c r="W118" s="45">
        <f ca="1">VLOOKUP(F118,AGE!F:J,5,FALSE)</f>
        <v>2010</v>
      </c>
      <c r="Y118" s="33">
        <f t="shared" si="334"/>
        <v>0</v>
      </c>
    </row>
    <row r="119" spans="1:25" x14ac:dyDescent="0.3">
      <c r="A119" s="33">
        <v>40</v>
      </c>
      <c r="B119" s="33">
        <v>10</v>
      </c>
      <c r="C119" s="33">
        <v>3</v>
      </c>
      <c r="D119" s="34" t="str">
        <f t="shared" si="235"/>
        <v>40103</v>
      </c>
      <c r="E119" s="33" t="s">
        <v>3</v>
      </c>
      <c r="F119" s="44" t="s">
        <v>14</v>
      </c>
      <c r="G119" s="45" t="s">
        <v>10</v>
      </c>
      <c r="H119" s="69">
        <v>250</v>
      </c>
      <c r="I119" s="47">
        <f t="shared" si="411"/>
        <v>275</v>
      </c>
      <c r="J119" s="47">
        <f t="shared" si="412"/>
        <v>225</v>
      </c>
      <c r="K119" s="68">
        <v>5</v>
      </c>
      <c r="L119" s="48" t="s">
        <v>32</v>
      </c>
      <c r="M119" s="49">
        <f t="shared" si="280"/>
        <v>5.0000000000000001E-3</v>
      </c>
      <c r="N119" s="50">
        <f t="shared" si="413"/>
        <v>1.25</v>
      </c>
      <c r="O119" s="50">
        <f t="shared" si="414"/>
        <v>1.5625</v>
      </c>
      <c r="P119" s="51">
        <f t="shared" si="415"/>
        <v>1.75</v>
      </c>
      <c r="Q119" s="50"/>
      <c r="R119" s="52">
        <f t="shared" si="416"/>
        <v>250</v>
      </c>
      <c r="S119" s="52">
        <f t="shared" si="417"/>
        <v>312.5</v>
      </c>
      <c r="T119" s="52">
        <f t="shared" si="418"/>
        <v>350</v>
      </c>
      <c r="U119" s="53">
        <f>+R119/2</f>
        <v>125</v>
      </c>
      <c r="V119" s="45">
        <f ca="1">VLOOKUP(F119,AGE!F:J,4,FALSE)</f>
        <v>2013</v>
      </c>
      <c r="W119" s="45">
        <f ca="1">VLOOKUP(F119,AGE!F:J,5,FALSE)</f>
        <v>2010</v>
      </c>
      <c r="Y119" s="33">
        <f t="shared" si="334"/>
        <v>0</v>
      </c>
    </row>
    <row r="120" spans="1:25" x14ac:dyDescent="0.3">
      <c r="A120" s="33">
        <v>40</v>
      </c>
      <c r="B120" s="33">
        <v>10</v>
      </c>
      <c r="C120" s="33">
        <v>4</v>
      </c>
      <c r="D120" s="34" t="str">
        <f t="shared" si="235"/>
        <v>40104</v>
      </c>
      <c r="E120" s="33" t="s">
        <v>3</v>
      </c>
      <c r="F120" s="44" t="s">
        <v>14</v>
      </c>
      <c r="G120" s="55" t="s">
        <v>25</v>
      </c>
      <c r="H120" s="56">
        <f>SUM(H117:H119)</f>
        <v>1500</v>
      </c>
      <c r="I120" s="57">
        <f t="shared" ref="I120" si="419">SUM(I117:I119)</f>
        <v>1650</v>
      </c>
      <c r="J120" s="57">
        <f t="shared" ref="J120" si="420">SUM(J117:J119)</f>
        <v>1350</v>
      </c>
      <c r="K120" s="57"/>
      <c r="L120" s="58"/>
      <c r="M120" s="49" t="str">
        <f t="shared" si="280"/>
        <v/>
      </c>
      <c r="N120" s="60">
        <f t="shared" ref="N120" si="421">SUM(N117:N119)</f>
        <v>6.5</v>
      </c>
      <c r="O120" s="61">
        <f t="shared" ref="O120" si="422">SUM(O117:O119)</f>
        <v>8.125</v>
      </c>
      <c r="P120" s="62"/>
      <c r="Q120" s="62">
        <f t="shared" ref="Q120" si="423">SUM(Q117:Q119)</f>
        <v>0</v>
      </c>
      <c r="R120" s="64">
        <f>SUM(R117:R119)</f>
        <v>1500</v>
      </c>
      <c r="S120" s="64">
        <f>SUM(S117:S119)</f>
        <v>1875</v>
      </c>
      <c r="T120" s="65"/>
      <c r="U120" s="66">
        <f>SUM(U117:U119)</f>
        <v>750</v>
      </c>
      <c r="V120" s="45">
        <f ca="1">VLOOKUP(F120,AGE!F:J,4,FALSE)</f>
        <v>2013</v>
      </c>
      <c r="W120" s="45">
        <f ca="1">VLOOKUP(F120,AGE!F:J,5,FALSE)</f>
        <v>2010</v>
      </c>
      <c r="Y120" s="33">
        <f t="shared" si="334"/>
        <v>0</v>
      </c>
    </row>
    <row r="121" spans="1:25" x14ac:dyDescent="0.3">
      <c r="A121" s="33">
        <v>40</v>
      </c>
      <c r="B121" s="33">
        <v>20</v>
      </c>
      <c r="C121" s="33">
        <v>1</v>
      </c>
      <c r="D121" s="34" t="str">
        <f t="shared" si="235"/>
        <v>40201</v>
      </c>
      <c r="E121" s="33" t="s">
        <v>3</v>
      </c>
      <c r="F121" s="44" t="s">
        <v>15</v>
      </c>
      <c r="G121" s="45" t="s">
        <v>10</v>
      </c>
      <c r="H121" s="69">
        <v>500</v>
      </c>
      <c r="I121" s="47">
        <f>H121*1.1</f>
        <v>550</v>
      </c>
      <c r="J121" s="47">
        <f>H121*0.9</f>
        <v>450</v>
      </c>
      <c r="K121" s="68">
        <v>5</v>
      </c>
      <c r="L121" s="48" t="s">
        <v>32</v>
      </c>
      <c r="M121" s="49">
        <f t="shared" si="280"/>
        <v>5.0000000000000001E-3</v>
      </c>
      <c r="N121" s="50">
        <f>H121*M121</f>
        <v>2.5</v>
      </c>
      <c r="O121" s="50">
        <f>N121*1.25</f>
        <v>3.125</v>
      </c>
      <c r="P121" s="51">
        <f>N121*1.4</f>
        <v>3.5</v>
      </c>
      <c r="Q121" s="50">
        <f>O117</f>
        <v>1.5625</v>
      </c>
      <c r="R121" s="52">
        <f>N121/M121</f>
        <v>500</v>
      </c>
      <c r="S121" s="52">
        <f>O121/M121</f>
        <v>625</v>
      </c>
      <c r="T121" s="52">
        <f>P121/M121</f>
        <v>700</v>
      </c>
      <c r="U121" s="67">
        <f>S117</f>
        <v>312.5</v>
      </c>
      <c r="V121" s="45">
        <f ca="1">VLOOKUP(F121,AGE!F:J,4,FALSE)</f>
        <v>2011</v>
      </c>
      <c r="W121" s="45">
        <f ca="1">VLOOKUP(F121,AGE!F:J,5,FALSE)</f>
        <v>2008</v>
      </c>
      <c r="Y121" s="33">
        <f t="shared" si="334"/>
        <v>0</v>
      </c>
    </row>
    <row r="122" spans="1:25" x14ac:dyDescent="0.3">
      <c r="A122" s="33">
        <v>40</v>
      </c>
      <c r="B122" s="33">
        <v>20</v>
      </c>
      <c r="C122" s="33">
        <v>2</v>
      </c>
      <c r="D122" s="34" t="str">
        <f t="shared" si="235"/>
        <v>40202</v>
      </c>
      <c r="E122" s="33" t="s">
        <v>3</v>
      </c>
      <c r="F122" s="44" t="s">
        <v>15</v>
      </c>
      <c r="G122" s="45" t="s">
        <v>9</v>
      </c>
      <c r="H122" s="69">
        <v>2000</v>
      </c>
      <c r="I122" s="47">
        <f t="shared" ref="I122:I123" si="424">H122*1.1</f>
        <v>2200</v>
      </c>
      <c r="J122" s="47">
        <f t="shared" ref="J122:J123" si="425">H122*0.9</f>
        <v>1800</v>
      </c>
      <c r="K122" s="47">
        <v>15</v>
      </c>
      <c r="L122" s="48" t="s">
        <v>28</v>
      </c>
      <c r="M122" s="49">
        <f t="shared" si="280"/>
        <v>4.0000000000000001E-3</v>
      </c>
      <c r="N122" s="50">
        <f t="shared" ref="N122:N123" si="426">H122*M122</f>
        <v>8</v>
      </c>
      <c r="O122" s="50">
        <f t="shared" ref="O122:O123" si="427">N122*1.25</f>
        <v>10</v>
      </c>
      <c r="P122" s="51">
        <f t="shared" ref="P122:P123" si="428">N122*1.4</f>
        <v>11.2</v>
      </c>
      <c r="Q122" s="50">
        <f t="shared" ref="Q122:Q123" si="429">O118</f>
        <v>5</v>
      </c>
      <c r="R122" s="52">
        <f t="shared" ref="R122:R123" si="430">N122/M122</f>
        <v>2000</v>
      </c>
      <c r="S122" s="52">
        <f t="shared" ref="S122:S123" si="431">O122/M122</f>
        <v>2500</v>
      </c>
      <c r="T122" s="52">
        <f t="shared" ref="T122:T123" si="432">P122/M122</f>
        <v>2799.9999999999995</v>
      </c>
      <c r="U122" s="67">
        <f>S118</f>
        <v>1250</v>
      </c>
      <c r="V122" s="45">
        <f ca="1">VLOOKUP(F122,AGE!F:J,4,FALSE)</f>
        <v>2011</v>
      </c>
      <c r="W122" s="45">
        <f ca="1">VLOOKUP(F122,AGE!F:J,5,FALSE)</f>
        <v>2008</v>
      </c>
      <c r="Y122" s="33">
        <f t="shared" si="334"/>
        <v>0</v>
      </c>
    </row>
    <row r="123" spans="1:25" x14ac:dyDescent="0.3">
      <c r="A123" s="33">
        <v>40</v>
      </c>
      <c r="B123" s="33">
        <v>20</v>
      </c>
      <c r="C123" s="33">
        <v>3</v>
      </c>
      <c r="D123" s="34" t="str">
        <f t="shared" si="235"/>
        <v>40203</v>
      </c>
      <c r="E123" s="33" t="s">
        <v>3</v>
      </c>
      <c r="F123" s="44" t="s">
        <v>15</v>
      </c>
      <c r="G123" s="45" t="s">
        <v>10</v>
      </c>
      <c r="H123" s="69">
        <v>500</v>
      </c>
      <c r="I123" s="47">
        <f t="shared" si="424"/>
        <v>550</v>
      </c>
      <c r="J123" s="47">
        <f t="shared" si="425"/>
        <v>450</v>
      </c>
      <c r="K123" s="68">
        <v>5</v>
      </c>
      <c r="L123" s="48" t="s">
        <v>32</v>
      </c>
      <c r="M123" s="49">
        <f t="shared" si="280"/>
        <v>5.0000000000000001E-3</v>
      </c>
      <c r="N123" s="50">
        <f t="shared" si="426"/>
        <v>2.5</v>
      </c>
      <c r="O123" s="50">
        <f t="shared" si="427"/>
        <v>3.125</v>
      </c>
      <c r="P123" s="51">
        <f t="shared" si="428"/>
        <v>3.5</v>
      </c>
      <c r="Q123" s="50">
        <f t="shared" si="429"/>
        <v>1.5625</v>
      </c>
      <c r="R123" s="52">
        <f t="shared" si="430"/>
        <v>500</v>
      </c>
      <c r="S123" s="52">
        <f t="shared" si="431"/>
        <v>625</v>
      </c>
      <c r="T123" s="52">
        <f t="shared" si="432"/>
        <v>700</v>
      </c>
      <c r="U123" s="67">
        <f>S119</f>
        <v>312.5</v>
      </c>
      <c r="V123" s="45">
        <f ca="1">VLOOKUP(F123,AGE!F:J,4,FALSE)</f>
        <v>2011</v>
      </c>
      <c r="W123" s="45">
        <f ca="1">VLOOKUP(F123,AGE!F:J,5,FALSE)</f>
        <v>2008</v>
      </c>
      <c r="Y123" s="33">
        <f t="shared" si="334"/>
        <v>0</v>
      </c>
    </row>
    <row r="124" spans="1:25" x14ac:dyDescent="0.3">
      <c r="A124" s="33">
        <v>40</v>
      </c>
      <c r="B124" s="33">
        <v>20</v>
      </c>
      <c r="C124" s="33">
        <v>4</v>
      </c>
      <c r="D124" s="34" t="str">
        <f t="shared" si="235"/>
        <v>40204</v>
      </c>
      <c r="E124" s="33" t="s">
        <v>3</v>
      </c>
      <c r="F124" s="44" t="s">
        <v>15</v>
      </c>
      <c r="G124" s="55" t="s">
        <v>25</v>
      </c>
      <c r="H124" s="56">
        <f>SUM(H121:H123)</f>
        <v>3000</v>
      </c>
      <c r="I124" s="57">
        <f t="shared" ref="I124" si="433">SUM(I121:I123)</f>
        <v>3300</v>
      </c>
      <c r="J124" s="57">
        <f t="shared" ref="J124" si="434">SUM(J121:J123)</f>
        <v>2700</v>
      </c>
      <c r="K124" s="57"/>
      <c r="L124" s="58"/>
      <c r="M124" s="49" t="str">
        <f t="shared" si="280"/>
        <v/>
      </c>
      <c r="N124" s="60">
        <f t="shared" ref="N124" si="435">SUM(N121:N123)</f>
        <v>13</v>
      </c>
      <c r="O124" s="61">
        <f t="shared" ref="O124" si="436">SUM(O121:O123)</f>
        <v>16.25</v>
      </c>
      <c r="P124" s="62"/>
      <c r="Q124" s="62">
        <f t="shared" ref="Q124" si="437">SUM(Q121:Q123)</f>
        <v>8.125</v>
      </c>
      <c r="R124" s="64">
        <f>SUM(R121:R123)</f>
        <v>3000</v>
      </c>
      <c r="S124" s="64">
        <f>SUM(S121:S123)</f>
        <v>3750</v>
      </c>
      <c r="T124" s="65"/>
      <c r="U124" s="66">
        <f>SUM(U121:U123)</f>
        <v>1875</v>
      </c>
      <c r="V124" s="45">
        <f ca="1">VLOOKUP(F124,AGE!F:J,4,FALSE)</f>
        <v>2011</v>
      </c>
      <c r="W124" s="45">
        <f ca="1">VLOOKUP(F124,AGE!F:J,5,FALSE)</f>
        <v>2008</v>
      </c>
      <c r="Y124" s="33">
        <f t="shared" si="334"/>
        <v>0</v>
      </c>
    </row>
    <row r="125" spans="1:25" x14ac:dyDescent="0.3">
      <c r="A125" s="33">
        <v>40</v>
      </c>
      <c r="B125" s="33">
        <v>30</v>
      </c>
      <c r="C125" s="33">
        <v>1</v>
      </c>
      <c r="D125" s="34" t="str">
        <f t="shared" si="235"/>
        <v>40301</v>
      </c>
      <c r="E125" s="33" t="s">
        <v>3</v>
      </c>
      <c r="F125" s="44" t="s">
        <v>79</v>
      </c>
      <c r="G125" s="45" t="s">
        <v>10</v>
      </c>
      <c r="H125" s="69">
        <v>750</v>
      </c>
      <c r="I125" s="47">
        <f>H125*1.1</f>
        <v>825.00000000000011</v>
      </c>
      <c r="J125" s="47">
        <f>H125*0.9</f>
        <v>675</v>
      </c>
      <c r="K125" s="68">
        <v>5</v>
      </c>
      <c r="L125" s="48" t="s">
        <v>32</v>
      </c>
      <c r="M125" s="49">
        <f t="shared" si="280"/>
        <v>5.0000000000000001E-3</v>
      </c>
      <c r="N125" s="50">
        <f>H125*M125</f>
        <v>3.75</v>
      </c>
      <c r="O125" s="50">
        <f>N125*1.25</f>
        <v>4.6875</v>
      </c>
      <c r="P125" s="51">
        <f>N125*1.4</f>
        <v>5.25</v>
      </c>
      <c r="Q125" s="50">
        <f>O121</f>
        <v>3.125</v>
      </c>
      <c r="R125" s="52">
        <f>N125/M125</f>
        <v>750</v>
      </c>
      <c r="S125" s="52">
        <f>O125/M125</f>
        <v>937.5</v>
      </c>
      <c r="T125" s="52">
        <f>P125/M125</f>
        <v>1050</v>
      </c>
      <c r="U125" s="67">
        <f>S121</f>
        <v>625</v>
      </c>
      <c r="V125" s="45">
        <f ca="1">VLOOKUP(F125,AGE!F:J,4,FALSE)</f>
        <v>2009</v>
      </c>
      <c r="W125" s="45">
        <f ca="1">VLOOKUP(F125,AGE!F:J,5,FALSE)</f>
        <v>2006</v>
      </c>
      <c r="Y125" s="33">
        <f t="shared" si="334"/>
        <v>0</v>
      </c>
    </row>
    <row r="126" spans="1:25" x14ac:dyDescent="0.3">
      <c r="A126" s="33">
        <v>40</v>
      </c>
      <c r="B126" s="33">
        <v>30</v>
      </c>
      <c r="C126" s="33">
        <v>2</v>
      </c>
      <c r="D126" s="34" t="str">
        <f t="shared" si="235"/>
        <v>40302</v>
      </c>
      <c r="E126" s="33" t="s">
        <v>3</v>
      </c>
      <c r="F126" s="44" t="s">
        <v>79</v>
      </c>
      <c r="G126" s="54" t="s">
        <v>13</v>
      </c>
      <c r="H126" s="69">
        <v>5000</v>
      </c>
      <c r="I126" s="47">
        <f t="shared" ref="I126:I127" si="438">H126*1.1</f>
        <v>5500</v>
      </c>
      <c r="J126" s="47">
        <f t="shared" ref="J126:J127" si="439">H126*0.9</f>
        <v>4500</v>
      </c>
      <c r="K126" s="47">
        <v>15</v>
      </c>
      <c r="L126" s="48" t="s">
        <v>28</v>
      </c>
      <c r="M126" s="49">
        <f t="shared" si="280"/>
        <v>4.0000000000000001E-3</v>
      </c>
      <c r="N126" s="50">
        <f t="shared" ref="N126:N127" si="440">H126*M126</f>
        <v>20</v>
      </c>
      <c r="O126" s="50">
        <f t="shared" ref="O126:O127" si="441">N126*1.25</f>
        <v>25</v>
      </c>
      <c r="P126" s="51">
        <f t="shared" ref="P126:P127" si="442">N126*1.4</f>
        <v>28</v>
      </c>
      <c r="Q126" s="50">
        <f t="shared" ref="Q126:Q127" si="443">O122</f>
        <v>10</v>
      </c>
      <c r="R126" s="52">
        <f t="shared" ref="R126:R127" si="444">N126/M126</f>
        <v>5000</v>
      </c>
      <c r="S126" s="52">
        <f t="shared" ref="S126:S127" si="445">O126/M126</f>
        <v>6250</v>
      </c>
      <c r="T126" s="52">
        <f t="shared" ref="T126:T127" si="446">P126/M126</f>
        <v>7000</v>
      </c>
      <c r="U126" s="67">
        <f>S122</f>
        <v>2500</v>
      </c>
      <c r="V126" s="45">
        <f ca="1">VLOOKUP(F126,AGE!F:J,4,FALSE)</f>
        <v>2009</v>
      </c>
      <c r="W126" s="45">
        <f ca="1">VLOOKUP(F126,AGE!F:J,5,FALSE)</f>
        <v>2006</v>
      </c>
      <c r="Y126" s="33">
        <f t="shared" si="334"/>
        <v>0</v>
      </c>
    </row>
    <row r="127" spans="1:25" x14ac:dyDescent="0.3">
      <c r="A127" s="33">
        <v>40</v>
      </c>
      <c r="B127" s="33">
        <v>30</v>
      </c>
      <c r="C127" s="33">
        <v>3</v>
      </c>
      <c r="D127" s="34" t="str">
        <f t="shared" si="235"/>
        <v>40303</v>
      </c>
      <c r="E127" s="33" t="s">
        <v>3</v>
      </c>
      <c r="F127" s="44" t="s">
        <v>79</v>
      </c>
      <c r="G127" s="45" t="s">
        <v>10</v>
      </c>
      <c r="H127" s="69">
        <v>750</v>
      </c>
      <c r="I127" s="47">
        <f t="shared" si="438"/>
        <v>825.00000000000011</v>
      </c>
      <c r="J127" s="47">
        <f t="shared" si="439"/>
        <v>675</v>
      </c>
      <c r="K127" s="68">
        <v>5</v>
      </c>
      <c r="L127" s="48" t="s">
        <v>32</v>
      </c>
      <c r="M127" s="49">
        <f t="shared" si="280"/>
        <v>5.0000000000000001E-3</v>
      </c>
      <c r="N127" s="50">
        <f t="shared" si="440"/>
        <v>3.75</v>
      </c>
      <c r="O127" s="50">
        <f t="shared" si="441"/>
        <v>4.6875</v>
      </c>
      <c r="P127" s="51">
        <f t="shared" si="442"/>
        <v>5.25</v>
      </c>
      <c r="Q127" s="50">
        <f t="shared" si="443"/>
        <v>3.125</v>
      </c>
      <c r="R127" s="52">
        <f t="shared" si="444"/>
        <v>750</v>
      </c>
      <c r="S127" s="52">
        <f t="shared" si="445"/>
        <v>937.5</v>
      </c>
      <c r="T127" s="52">
        <f t="shared" si="446"/>
        <v>1050</v>
      </c>
      <c r="U127" s="67">
        <f>S123</f>
        <v>625</v>
      </c>
      <c r="V127" s="45">
        <f ca="1">VLOOKUP(F127,AGE!F:J,4,FALSE)</f>
        <v>2009</v>
      </c>
      <c r="W127" s="45">
        <f ca="1">VLOOKUP(F127,AGE!F:J,5,FALSE)</f>
        <v>2006</v>
      </c>
      <c r="Y127" s="33">
        <f t="shared" si="334"/>
        <v>0</v>
      </c>
    </row>
    <row r="128" spans="1:25" x14ac:dyDescent="0.3">
      <c r="A128" s="33">
        <v>40</v>
      </c>
      <c r="B128" s="33">
        <v>30</v>
      </c>
      <c r="C128" s="33">
        <v>4</v>
      </c>
      <c r="D128" s="34" t="str">
        <f t="shared" si="235"/>
        <v>40304</v>
      </c>
      <c r="E128" s="33" t="s">
        <v>3</v>
      </c>
      <c r="F128" s="44" t="s">
        <v>79</v>
      </c>
      <c r="G128" s="55" t="s">
        <v>25</v>
      </c>
      <c r="H128" s="56">
        <f>SUM(H125:H127)</f>
        <v>6500</v>
      </c>
      <c r="I128" s="57">
        <f t="shared" ref="I128" si="447">SUM(I125:I127)</f>
        <v>7150</v>
      </c>
      <c r="J128" s="57">
        <f t="shared" ref="J128" si="448">SUM(J125:J127)</f>
        <v>5850</v>
      </c>
      <c r="K128" s="57"/>
      <c r="L128" s="58"/>
      <c r="M128" s="49" t="str">
        <f t="shared" si="280"/>
        <v/>
      </c>
      <c r="N128" s="60">
        <f t="shared" ref="N128" si="449">SUM(N125:N127)</f>
        <v>27.5</v>
      </c>
      <c r="O128" s="61">
        <f t="shared" ref="O128" si="450">SUM(O125:O127)</f>
        <v>34.375</v>
      </c>
      <c r="P128" s="62"/>
      <c r="Q128" s="62">
        <f t="shared" ref="Q128" si="451">SUM(Q125:Q127)</f>
        <v>16.25</v>
      </c>
      <c r="R128" s="64">
        <f>SUM(R125:R127)</f>
        <v>6500</v>
      </c>
      <c r="S128" s="64">
        <f>SUM(S125:S127)</f>
        <v>8125</v>
      </c>
      <c r="T128" s="65"/>
      <c r="U128" s="66">
        <f>SUM(U125:U127)</f>
        <v>3750</v>
      </c>
      <c r="V128" s="45">
        <f ca="1">VLOOKUP(F128,AGE!F:J,4,FALSE)</f>
        <v>2009</v>
      </c>
      <c r="W128" s="45">
        <f ca="1">VLOOKUP(F128,AGE!F:J,5,FALSE)</f>
        <v>2006</v>
      </c>
      <c r="Y128" s="33">
        <f t="shared" si="334"/>
        <v>0</v>
      </c>
    </row>
    <row r="129" spans="1:25" x14ac:dyDescent="0.3">
      <c r="A129" s="33">
        <v>40</v>
      </c>
      <c r="B129" s="33">
        <v>40</v>
      </c>
      <c r="C129" s="33">
        <v>1</v>
      </c>
      <c r="D129" s="34" t="str">
        <f t="shared" si="235"/>
        <v>40401</v>
      </c>
      <c r="E129" s="33" t="s">
        <v>3</v>
      </c>
      <c r="F129" s="44" t="s">
        <v>17</v>
      </c>
      <c r="G129" s="45" t="s">
        <v>10</v>
      </c>
      <c r="H129" s="69">
        <v>1000</v>
      </c>
      <c r="I129" s="47">
        <f>H129*1.1</f>
        <v>1100</v>
      </c>
      <c r="J129" s="47">
        <f>H129*0.9</f>
        <v>900</v>
      </c>
      <c r="K129" s="68">
        <v>5</v>
      </c>
      <c r="L129" s="48" t="s">
        <v>32</v>
      </c>
      <c r="M129" s="49">
        <f t="shared" si="280"/>
        <v>5.0000000000000001E-3</v>
      </c>
      <c r="N129" s="50">
        <f>H129*M129</f>
        <v>5</v>
      </c>
      <c r="O129" s="50">
        <f>N129*1.25</f>
        <v>6.25</v>
      </c>
      <c r="P129" s="51">
        <f>N129*1.4</f>
        <v>7</v>
      </c>
      <c r="Q129" s="50">
        <f>O125</f>
        <v>4.6875</v>
      </c>
      <c r="R129" s="52">
        <f>N129/M129</f>
        <v>1000</v>
      </c>
      <c r="S129" s="52">
        <f>O129/M129</f>
        <v>1250</v>
      </c>
      <c r="T129" s="52">
        <f>P129/M129</f>
        <v>1400</v>
      </c>
      <c r="U129" s="67">
        <f>S125</f>
        <v>937.5</v>
      </c>
      <c r="V129" s="45">
        <f ca="1">VLOOKUP(F129,AGE!F:J,4,FALSE)</f>
        <v>2007</v>
      </c>
      <c r="W129" s="45">
        <f ca="1">VLOOKUP(F129,AGE!F:J,5,FALSE)</f>
        <v>2000</v>
      </c>
      <c r="Y129" s="33">
        <f t="shared" si="334"/>
        <v>0</v>
      </c>
    </row>
    <row r="130" spans="1:25" x14ac:dyDescent="0.3">
      <c r="A130" s="33">
        <v>40</v>
      </c>
      <c r="B130" s="33">
        <v>40</v>
      </c>
      <c r="C130" s="33">
        <v>2</v>
      </c>
      <c r="D130" s="34" t="str">
        <f t="shared" si="235"/>
        <v>40402</v>
      </c>
      <c r="E130" s="33" t="s">
        <v>3</v>
      </c>
      <c r="F130" s="44" t="s">
        <v>17</v>
      </c>
      <c r="G130" s="54" t="s">
        <v>13</v>
      </c>
      <c r="H130" s="69">
        <v>6000</v>
      </c>
      <c r="I130" s="47">
        <f t="shared" ref="I130:I131" si="452">H130*1.1</f>
        <v>6600.0000000000009</v>
      </c>
      <c r="J130" s="47">
        <f t="shared" ref="J130:J131" si="453">H130*0.9</f>
        <v>5400</v>
      </c>
      <c r="K130" s="47">
        <v>15</v>
      </c>
      <c r="L130" s="48" t="s">
        <v>28</v>
      </c>
      <c r="M130" s="49">
        <f t="shared" si="280"/>
        <v>4.0000000000000001E-3</v>
      </c>
      <c r="N130" s="50">
        <f t="shared" ref="N130:N131" si="454">H130*M130</f>
        <v>24</v>
      </c>
      <c r="O130" s="50">
        <f t="shared" ref="O130:O131" si="455">N130*1.25</f>
        <v>30</v>
      </c>
      <c r="P130" s="51">
        <f t="shared" ref="P130:P131" si="456">N130*1.4</f>
        <v>33.599999999999994</v>
      </c>
      <c r="Q130" s="50">
        <f t="shared" ref="Q130:Q131" si="457">O126</f>
        <v>25</v>
      </c>
      <c r="R130" s="52">
        <f t="shared" ref="R130:R131" si="458">N130/M130</f>
        <v>6000</v>
      </c>
      <c r="S130" s="52">
        <f t="shared" ref="S130:S131" si="459">O130/M130</f>
        <v>7500</v>
      </c>
      <c r="T130" s="52">
        <f t="shared" ref="T130:T131" si="460">P130/M130</f>
        <v>8399.9999999999982</v>
      </c>
      <c r="U130" s="181">
        <v>5500</v>
      </c>
      <c r="V130" s="45">
        <f ca="1">VLOOKUP(F130,AGE!F:J,4,FALSE)</f>
        <v>2007</v>
      </c>
      <c r="W130" s="45">
        <f ca="1">VLOOKUP(F130,AGE!F:J,5,FALSE)</f>
        <v>2000</v>
      </c>
      <c r="Y130" s="33">
        <f t="shared" si="334"/>
        <v>0</v>
      </c>
    </row>
    <row r="131" spans="1:25" x14ac:dyDescent="0.3">
      <c r="A131" s="33">
        <v>40</v>
      </c>
      <c r="B131" s="33">
        <v>40</v>
      </c>
      <c r="C131" s="33">
        <v>3</v>
      </c>
      <c r="D131" s="34" t="str">
        <f t="shared" si="235"/>
        <v>40403</v>
      </c>
      <c r="E131" s="33" t="s">
        <v>3</v>
      </c>
      <c r="F131" s="44" t="s">
        <v>17</v>
      </c>
      <c r="G131" s="45" t="s">
        <v>10</v>
      </c>
      <c r="H131" s="69">
        <v>1000</v>
      </c>
      <c r="I131" s="47">
        <f t="shared" si="452"/>
        <v>1100</v>
      </c>
      <c r="J131" s="47">
        <f t="shared" si="453"/>
        <v>900</v>
      </c>
      <c r="K131" s="68">
        <v>5</v>
      </c>
      <c r="L131" s="48" t="s">
        <v>32</v>
      </c>
      <c r="M131" s="49">
        <f t="shared" si="280"/>
        <v>5.0000000000000001E-3</v>
      </c>
      <c r="N131" s="50">
        <f t="shared" si="454"/>
        <v>5</v>
      </c>
      <c r="O131" s="50">
        <f t="shared" si="455"/>
        <v>6.25</v>
      </c>
      <c r="P131" s="51">
        <f t="shared" si="456"/>
        <v>7</v>
      </c>
      <c r="Q131" s="50">
        <f t="shared" si="457"/>
        <v>4.6875</v>
      </c>
      <c r="R131" s="52">
        <f t="shared" si="458"/>
        <v>1000</v>
      </c>
      <c r="S131" s="52">
        <f t="shared" si="459"/>
        <v>1250</v>
      </c>
      <c r="T131" s="52">
        <f t="shared" si="460"/>
        <v>1400</v>
      </c>
      <c r="U131" s="67">
        <f>S127</f>
        <v>937.5</v>
      </c>
      <c r="V131" s="45">
        <f ca="1">VLOOKUP(F131,AGE!F:J,4,FALSE)</f>
        <v>2007</v>
      </c>
      <c r="W131" s="45">
        <f ca="1">VLOOKUP(F131,AGE!F:J,5,FALSE)</f>
        <v>2000</v>
      </c>
      <c r="Y131" s="33">
        <f t="shared" si="334"/>
        <v>0</v>
      </c>
    </row>
    <row r="132" spans="1:25" x14ac:dyDescent="0.3">
      <c r="A132" s="33">
        <v>40</v>
      </c>
      <c r="B132" s="33">
        <v>40</v>
      </c>
      <c r="C132" s="33">
        <v>4</v>
      </c>
      <c r="D132" s="34" t="str">
        <f t="shared" si="235"/>
        <v>40404</v>
      </c>
      <c r="E132" s="33" t="s">
        <v>3</v>
      </c>
      <c r="F132" s="44" t="s">
        <v>17</v>
      </c>
      <c r="G132" s="55" t="s">
        <v>25</v>
      </c>
      <c r="H132" s="56">
        <f>SUM(H129:H131)</f>
        <v>8000</v>
      </c>
      <c r="I132" s="57">
        <f t="shared" ref="I132" si="461">SUM(I129:I131)</f>
        <v>8800</v>
      </c>
      <c r="J132" s="57">
        <f t="shared" ref="J132" si="462">SUM(J129:J131)</f>
        <v>7200</v>
      </c>
      <c r="K132" s="57"/>
      <c r="L132" s="58"/>
      <c r="M132" s="49" t="str">
        <f t="shared" si="280"/>
        <v/>
      </c>
      <c r="N132" s="60">
        <f t="shared" ref="N132" si="463">SUM(N129:N131)</f>
        <v>34</v>
      </c>
      <c r="O132" s="61">
        <f t="shared" ref="O132" si="464">SUM(O129:O131)</f>
        <v>42.5</v>
      </c>
      <c r="P132" s="62"/>
      <c r="Q132" s="62">
        <f t="shared" ref="Q132" si="465">SUM(Q129:Q131)</f>
        <v>34.375</v>
      </c>
      <c r="R132" s="64">
        <f>SUM(R129:R131)</f>
        <v>8000</v>
      </c>
      <c r="S132" s="64">
        <f>SUM(S129:S131)</f>
        <v>10000</v>
      </c>
      <c r="T132" s="65"/>
      <c r="U132" s="66">
        <f>SUM(U129:U131)</f>
        <v>7375</v>
      </c>
      <c r="V132" s="45">
        <f ca="1">VLOOKUP(F132,AGE!F:J,4,FALSE)</f>
        <v>2007</v>
      </c>
      <c r="W132" s="45">
        <f ca="1">VLOOKUP(F132,AGE!F:J,5,FALSE)</f>
        <v>2000</v>
      </c>
      <c r="Y132" s="33">
        <f t="shared" si="334"/>
        <v>0</v>
      </c>
    </row>
    <row r="133" spans="1:25" x14ac:dyDescent="0.3">
      <c r="A133" s="33">
        <v>40</v>
      </c>
      <c r="B133" s="33">
        <v>50</v>
      </c>
      <c r="C133" s="33">
        <v>1</v>
      </c>
      <c r="D133" s="34" t="str">
        <f t="shared" si="235"/>
        <v>40501</v>
      </c>
      <c r="E133" s="33" t="s">
        <v>3</v>
      </c>
      <c r="F133" s="44" t="s">
        <v>18</v>
      </c>
      <c r="G133" s="45" t="s">
        <v>10</v>
      </c>
      <c r="H133" s="69">
        <v>2000</v>
      </c>
      <c r="I133" s="47">
        <f>H133*1.1</f>
        <v>2200</v>
      </c>
      <c r="J133" s="47">
        <f>H133*0.9</f>
        <v>1800</v>
      </c>
      <c r="K133" s="68">
        <v>4.5</v>
      </c>
      <c r="L133" s="48" t="s">
        <v>32</v>
      </c>
      <c r="M133" s="49">
        <f t="shared" si="280"/>
        <v>4.4999999999999997E-3</v>
      </c>
      <c r="N133" s="50">
        <f>H133*M133</f>
        <v>9</v>
      </c>
      <c r="O133" s="50">
        <f>N133*1.25</f>
        <v>11.25</v>
      </c>
      <c r="P133" s="51">
        <f t="shared" ref="P133:P135" si="466">N133*1.4</f>
        <v>12.6</v>
      </c>
      <c r="Q133" s="50">
        <f>O129</f>
        <v>6.25</v>
      </c>
      <c r="R133" s="52">
        <f>N133/M133</f>
        <v>2000.0000000000002</v>
      </c>
      <c r="S133" s="52">
        <f>O133/M133</f>
        <v>2500</v>
      </c>
      <c r="T133" s="52">
        <f>P133/M133</f>
        <v>2800</v>
      </c>
      <c r="U133" s="67">
        <f>(N133*0.5)/M133</f>
        <v>1000.0000000000001</v>
      </c>
      <c r="V133" s="45">
        <f ca="1">VLOOKUP(F133,AGE!F:J,4,FALSE)</f>
        <v>2007</v>
      </c>
      <c r="W133" s="45">
        <f ca="1">VLOOKUP(F133,AGE!F:J,5,FALSE)</f>
        <v>1920</v>
      </c>
      <c r="Y133" s="33">
        <f t="shared" si="334"/>
        <v>0</v>
      </c>
    </row>
    <row r="134" spans="1:25" x14ac:dyDescent="0.3">
      <c r="A134" s="33">
        <v>40</v>
      </c>
      <c r="B134" s="33">
        <v>50</v>
      </c>
      <c r="C134" s="33">
        <v>2</v>
      </c>
      <c r="D134" s="34" t="str">
        <f t="shared" ref="D134:D209" si="467">CONCATENATE(A134,B134,C134)</f>
        <v>40502</v>
      </c>
      <c r="E134" s="33" t="s">
        <v>3</v>
      </c>
      <c r="F134" s="44" t="s">
        <v>18</v>
      </c>
      <c r="G134" s="54" t="s">
        <v>13</v>
      </c>
      <c r="H134" s="69">
        <v>5500</v>
      </c>
      <c r="I134" s="47">
        <f t="shared" ref="I134:I135" si="468">H134*1.1</f>
        <v>6050.0000000000009</v>
      </c>
      <c r="J134" s="47">
        <f t="shared" ref="J134:J135" si="469">H134*0.9</f>
        <v>4950</v>
      </c>
      <c r="K134" s="47">
        <v>15</v>
      </c>
      <c r="L134" s="48" t="s">
        <v>28</v>
      </c>
      <c r="M134" s="49">
        <f t="shared" si="280"/>
        <v>4.0000000000000001E-3</v>
      </c>
      <c r="N134" s="50">
        <f t="shared" ref="N134:N135" si="470">H134*M134</f>
        <v>22</v>
      </c>
      <c r="O134" s="50">
        <f t="shared" ref="O134:O135" si="471">N134*1.25</f>
        <v>27.5</v>
      </c>
      <c r="P134" s="51">
        <f t="shared" si="466"/>
        <v>30.799999999999997</v>
      </c>
      <c r="Q134" s="50">
        <f t="shared" ref="Q134:Q135" si="472">O130</f>
        <v>30</v>
      </c>
      <c r="R134" s="52">
        <f t="shared" ref="R134:R135" si="473">N134/M134</f>
        <v>5500</v>
      </c>
      <c r="S134" s="52">
        <f t="shared" ref="S134:S135" si="474">O134/M134</f>
        <v>6875</v>
      </c>
      <c r="T134" s="52">
        <f t="shared" ref="T134:T135" si="475">P134/M134</f>
        <v>7699.9999999999991</v>
      </c>
      <c r="U134" s="67">
        <f t="shared" ref="U134:U135" si="476">(N134*0.5)/M134</f>
        <v>2750</v>
      </c>
      <c r="V134" s="45">
        <f ca="1">VLOOKUP(F134,AGE!F:J,4,FALSE)</f>
        <v>2007</v>
      </c>
      <c r="W134" s="45">
        <f ca="1">VLOOKUP(F134,AGE!F:J,5,FALSE)</f>
        <v>1920</v>
      </c>
      <c r="Y134" s="33">
        <f t="shared" si="334"/>
        <v>0</v>
      </c>
    </row>
    <row r="135" spans="1:25" x14ac:dyDescent="0.3">
      <c r="A135" s="33">
        <v>40</v>
      </c>
      <c r="B135" s="33">
        <v>50</v>
      </c>
      <c r="C135" s="33">
        <v>3</v>
      </c>
      <c r="D135" s="34" t="str">
        <f t="shared" si="467"/>
        <v>40503</v>
      </c>
      <c r="E135" s="33" t="s">
        <v>3</v>
      </c>
      <c r="F135" s="44" t="s">
        <v>18</v>
      </c>
      <c r="G135" s="45" t="s">
        <v>10</v>
      </c>
      <c r="H135" s="69">
        <v>1000</v>
      </c>
      <c r="I135" s="47">
        <f t="shared" si="468"/>
        <v>1100</v>
      </c>
      <c r="J135" s="47">
        <f t="shared" si="469"/>
        <v>900</v>
      </c>
      <c r="K135" s="68">
        <v>4.5</v>
      </c>
      <c r="L135" s="48" t="s">
        <v>32</v>
      </c>
      <c r="M135" s="49">
        <f t="shared" si="280"/>
        <v>4.4999999999999997E-3</v>
      </c>
      <c r="N135" s="50">
        <f t="shared" si="470"/>
        <v>4.5</v>
      </c>
      <c r="O135" s="50">
        <f t="shared" si="471"/>
        <v>5.625</v>
      </c>
      <c r="P135" s="51">
        <f t="shared" si="466"/>
        <v>6.3</v>
      </c>
      <c r="Q135" s="50">
        <f t="shared" si="472"/>
        <v>6.25</v>
      </c>
      <c r="R135" s="52">
        <f t="shared" si="473"/>
        <v>1000.0000000000001</v>
      </c>
      <c r="S135" s="52">
        <f t="shared" si="474"/>
        <v>1250</v>
      </c>
      <c r="T135" s="52">
        <f t="shared" si="475"/>
        <v>1400</v>
      </c>
      <c r="U135" s="67">
        <f t="shared" si="476"/>
        <v>500.00000000000006</v>
      </c>
      <c r="V135" s="45">
        <f ca="1">VLOOKUP(F135,AGE!F:J,4,FALSE)</f>
        <v>2007</v>
      </c>
      <c r="W135" s="45">
        <f ca="1">VLOOKUP(F135,AGE!F:J,5,FALSE)</f>
        <v>1920</v>
      </c>
      <c r="Y135" s="33">
        <f t="shared" si="334"/>
        <v>0</v>
      </c>
    </row>
    <row r="136" spans="1:25" x14ac:dyDescent="0.3">
      <c r="A136" s="33">
        <v>40</v>
      </c>
      <c r="B136" s="33">
        <v>50</v>
      </c>
      <c r="C136" s="33">
        <v>4</v>
      </c>
      <c r="D136" s="34" t="str">
        <f t="shared" si="467"/>
        <v>40504</v>
      </c>
      <c r="E136" s="33" t="s">
        <v>3</v>
      </c>
      <c r="F136" s="44" t="s">
        <v>18</v>
      </c>
      <c r="G136" s="55" t="s">
        <v>25</v>
      </c>
      <c r="H136" s="56">
        <f>SUM(H133:H135)</f>
        <v>8500</v>
      </c>
      <c r="I136" s="57">
        <f t="shared" ref="I136" si="477">SUM(I133:I135)</f>
        <v>9350</v>
      </c>
      <c r="J136" s="57">
        <f t="shared" ref="J136" si="478">SUM(J133:J135)</f>
        <v>7650</v>
      </c>
      <c r="K136" s="57"/>
      <c r="L136" s="58"/>
      <c r="M136" s="49" t="str">
        <f t="shared" si="280"/>
        <v/>
      </c>
      <c r="N136" s="60">
        <f t="shared" ref="N136" si="479">SUM(N133:N135)</f>
        <v>35.5</v>
      </c>
      <c r="O136" s="61">
        <f t="shared" ref="O136" si="480">SUM(O133:O135)</f>
        <v>44.375</v>
      </c>
      <c r="P136" s="62"/>
      <c r="Q136" s="62">
        <f t="shared" ref="Q136" si="481">SUM(Q133:Q135)</f>
        <v>42.5</v>
      </c>
      <c r="R136" s="64">
        <f>SUM(R133:R135)</f>
        <v>8500</v>
      </c>
      <c r="S136" s="64">
        <f>SUM(S133:S135)</f>
        <v>10625</v>
      </c>
      <c r="T136" s="65"/>
      <c r="U136" s="66">
        <f>SUM(U133:U135)</f>
        <v>4250</v>
      </c>
      <c r="V136" s="45">
        <f ca="1">VLOOKUP(F136,AGE!F:J,4,FALSE)</f>
        <v>2007</v>
      </c>
      <c r="W136" s="45">
        <f ca="1">VLOOKUP(F136,AGE!F:J,5,FALSE)</f>
        <v>1920</v>
      </c>
      <c r="Y136" s="33">
        <f t="shared" si="334"/>
        <v>0</v>
      </c>
    </row>
    <row r="137" spans="1:25" x14ac:dyDescent="0.3">
      <c r="A137" s="33">
        <v>40</v>
      </c>
      <c r="B137" s="33">
        <v>60</v>
      </c>
      <c r="C137" s="33">
        <v>1</v>
      </c>
      <c r="D137" s="34" t="str">
        <f t="shared" si="467"/>
        <v>40601</v>
      </c>
      <c r="E137" s="33" t="s">
        <v>3</v>
      </c>
      <c r="F137" s="44" t="s">
        <v>19</v>
      </c>
      <c r="G137" s="45" t="s">
        <v>10</v>
      </c>
      <c r="H137" s="69">
        <v>4000</v>
      </c>
      <c r="I137" s="47">
        <f>H137*1.1</f>
        <v>4400</v>
      </c>
      <c r="J137" s="47">
        <f>H137*0.9</f>
        <v>3600</v>
      </c>
      <c r="K137" s="68">
        <v>4.5</v>
      </c>
      <c r="L137" s="48" t="s">
        <v>32</v>
      </c>
      <c r="M137" s="49">
        <f t="shared" si="280"/>
        <v>4.4999999999999997E-3</v>
      </c>
      <c r="N137" s="50">
        <f>H137*M137</f>
        <v>18</v>
      </c>
      <c r="O137" s="50">
        <f>N137*1.25</f>
        <v>22.5</v>
      </c>
      <c r="P137" s="51">
        <f t="shared" ref="P137:P139" si="482">N137*1.4</f>
        <v>25.2</v>
      </c>
      <c r="Q137" s="50">
        <f>O133</f>
        <v>11.25</v>
      </c>
      <c r="R137" s="52">
        <f>N137/M137</f>
        <v>4000.0000000000005</v>
      </c>
      <c r="S137" s="52">
        <f>O137/M137</f>
        <v>5000</v>
      </c>
      <c r="T137" s="52">
        <f>P137/M137</f>
        <v>5600</v>
      </c>
      <c r="U137" s="67">
        <f>S133</f>
        <v>2500</v>
      </c>
      <c r="V137" s="45">
        <f ca="1">VLOOKUP(F137,AGE!F:J,4,FALSE)</f>
        <v>2003</v>
      </c>
      <c r="W137" s="45">
        <f ca="1">VLOOKUP(F137,AGE!F:J,5,FALSE)</f>
        <v>1920</v>
      </c>
      <c r="Y137" s="33">
        <f t="shared" si="334"/>
        <v>0</v>
      </c>
    </row>
    <row r="138" spans="1:25" x14ac:dyDescent="0.3">
      <c r="A138" s="33">
        <v>40</v>
      </c>
      <c r="B138" s="33">
        <v>60</v>
      </c>
      <c r="C138" s="33">
        <v>2</v>
      </c>
      <c r="D138" s="34" t="str">
        <f t="shared" si="467"/>
        <v>40602</v>
      </c>
      <c r="E138" s="33" t="s">
        <v>3</v>
      </c>
      <c r="F138" s="44" t="s">
        <v>19</v>
      </c>
      <c r="G138" s="54" t="s">
        <v>13</v>
      </c>
      <c r="H138" s="69">
        <v>11000</v>
      </c>
      <c r="I138" s="47">
        <f t="shared" ref="I138:I139" si="483">H138*1.1</f>
        <v>12100.000000000002</v>
      </c>
      <c r="J138" s="47">
        <f t="shared" ref="J138:J139" si="484">H138*0.9</f>
        <v>9900</v>
      </c>
      <c r="K138" s="47">
        <v>15</v>
      </c>
      <c r="L138" s="48" t="s">
        <v>28</v>
      </c>
      <c r="M138" s="49">
        <f t="shared" si="280"/>
        <v>4.0000000000000001E-3</v>
      </c>
      <c r="N138" s="50">
        <f t="shared" ref="N138:N139" si="485">H138*M138</f>
        <v>44</v>
      </c>
      <c r="O138" s="50">
        <f t="shared" ref="O138:O139" si="486">N138*1.25</f>
        <v>55</v>
      </c>
      <c r="P138" s="51">
        <f t="shared" si="482"/>
        <v>61.599999999999994</v>
      </c>
      <c r="Q138" s="50">
        <f t="shared" ref="Q138:Q139" si="487">O134</f>
        <v>27.5</v>
      </c>
      <c r="R138" s="52">
        <f t="shared" ref="R138:R139" si="488">N138/M138</f>
        <v>11000</v>
      </c>
      <c r="S138" s="52">
        <f t="shared" ref="S138:S139" si="489">O138/M138</f>
        <v>13750</v>
      </c>
      <c r="T138" s="52">
        <f t="shared" ref="T138:T139" si="490">P138/M138</f>
        <v>15399.999999999998</v>
      </c>
      <c r="U138" s="67">
        <f>S134</f>
        <v>6875</v>
      </c>
      <c r="V138" s="45">
        <f ca="1">VLOOKUP(F138,AGE!F:J,4,FALSE)</f>
        <v>2003</v>
      </c>
      <c r="W138" s="45">
        <f ca="1">VLOOKUP(F138,AGE!F:J,5,FALSE)</f>
        <v>1920</v>
      </c>
      <c r="Y138" s="33">
        <f t="shared" si="334"/>
        <v>0</v>
      </c>
    </row>
    <row r="139" spans="1:25" x14ac:dyDescent="0.3">
      <c r="A139" s="33">
        <v>40</v>
      </c>
      <c r="B139" s="33">
        <v>60</v>
      </c>
      <c r="C139" s="33">
        <v>3</v>
      </c>
      <c r="D139" s="34" t="str">
        <f t="shared" si="467"/>
        <v>40603</v>
      </c>
      <c r="E139" s="33" t="s">
        <v>3</v>
      </c>
      <c r="F139" s="44" t="s">
        <v>19</v>
      </c>
      <c r="G139" s="45" t="s">
        <v>10</v>
      </c>
      <c r="H139" s="69">
        <v>2000</v>
      </c>
      <c r="I139" s="47">
        <f t="shared" si="483"/>
        <v>2200</v>
      </c>
      <c r="J139" s="47">
        <f t="shared" si="484"/>
        <v>1800</v>
      </c>
      <c r="K139" s="68">
        <v>4.5</v>
      </c>
      <c r="L139" s="48" t="s">
        <v>32</v>
      </c>
      <c r="M139" s="49">
        <f t="shared" si="280"/>
        <v>4.4999999999999997E-3</v>
      </c>
      <c r="N139" s="50">
        <f t="shared" si="485"/>
        <v>9</v>
      </c>
      <c r="O139" s="50">
        <f t="shared" si="486"/>
        <v>11.25</v>
      </c>
      <c r="P139" s="51">
        <f t="shared" si="482"/>
        <v>12.6</v>
      </c>
      <c r="Q139" s="50">
        <f t="shared" si="487"/>
        <v>5.625</v>
      </c>
      <c r="R139" s="52">
        <f t="shared" si="488"/>
        <v>2000.0000000000002</v>
      </c>
      <c r="S139" s="52">
        <f t="shared" si="489"/>
        <v>2500</v>
      </c>
      <c r="T139" s="52">
        <f t="shared" si="490"/>
        <v>2800</v>
      </c>
      <c r="U139" s="67">
        <f>S135</f>
        <v>1250</v>
      </c>
      <c r="V139" s="45">
        <f ca="1">VLOOKUP(F139,AGE!F:J,4,FALSE)</f>
        <v>2003</v>
      </c>
      <c r="W139" s="45">
        <f ca="1">VLOOKUP(F139,AGE!F:J,5,FALSE)</f>
        <v>1920</v>
      </c>
      <c r="Y139" s="33">
        <f t="shared" si="334"/>
        <v>0</v>
      </c>
    </row>
    <row r="140" spans="1:25" x14ac:dyDescent="0.3">
      <c r="A140" s="33">
        <v>40</v>
      </c>
      <c r="B140" s="33">
        <v>60</v>
      </c>
      <c r="C140" s="33">
        <v>4</v>
      </c>
      <c r="D140" s="34" t="str">
        <f t="shared" si="467"/>
        <v>40604</v>
      </c>
      <c r="E140" s="33" t="s">
        <v>3</v>
      </c>
      <c r="F140" s="44" t="s">
        <v>19</v>
      </c>
      <c r="G140" s="55" t="s">
        <v>25</v>
      </c>
      <c r="H140" s="56">
        <f>SUM(H137:H139)</f>
        <v>17000</v>
      </c>
      <c r="I140" s="57">
        <f t="shared" ref="I140" si="491">SUM(I137:I139)</f>
        <v>18700</v>
      </c>
      <c r="J140" s="57">
        <f t="shared" ref="J140" si="492">SUM(J137:J139)</f>
        <v>15300</v>
      </c>
      <c r="K140" s="57"/>
      <c r="L140" s="58"/>
      <c r="M140" s="49" t="str">
        <f t="shared" si="280"/>
        <v/>
      </c>
      <c r="N140" s="60">
        <f t="shared" ref="N140" si="493">SUM(N137:N139)</f>
        <v>71</v>
      </c>
      <c r="O140" s="61">
        <f t="shared" ref="O140" si="494">SUM(O137:O139)</f>
        <v>88.75</v>
      </c>
      <c r="P140" s="62"/>
      <c r="Q140" s="62">
        <f t="shared" ref="Q140" si="495">SUM(Q137:Q139)</f>
        <v>44.375</v>
      </c>
      <c r="R140" s="64">
        <f>SUM(R137:R139)</f>
        <v>17000</v>
      </c>
      <c r="S140" s="64">
        <f>SUM(S137:S139)</f>
        <v>21250</v>
      </c>
      <c r="T140" s="65"/>
      <c r="U140" s="66">
        <f>SUM(U137:U139)</f>
        <v>10625</v>
      </c>
      <c r="V140" s="45">
        <f ca="1">VLOOKUP(F140,AGE!F:J,4,FALSE)</f>
        <v>2003</v>
      </c>
      <c r="W140" s="45">
        <f ca="1">VLOOKUP(F140,AGE!F:J,5,FALSE)</f>
        <v>1920</v>
      </c>
      <c r="Y140" s="33">
        <f t="shared" si="334"/>
        <v>0</v>
      </c>
    </row>
    <row r="141" spans="1:25" x14ac:dyDescent="0.3">
      <c r="A141" s="33">
        <v>40</v>
      </c>
      <c r="B141" s="33">
        <v>70</v>
      </c>
      <c r="C141" s="33">
        <v>1</v>
      </c>
      <c r="D141" s="34" t="str">
        <f t="shared" si="467"/>
        <v>40701</v>
      </c>
      <c r="E141" s="33" t="s">
        <v>3</v>
      </c>
      <c r="F141" s="44" t="s">
        <v>20</v>
      </c>
      <c r="G141" s="45" t="s">
        <v>10</v>
      </c>
      <c r="H141" s="69">
        <v>8000</v>
      </c>
      <c r="I141" s="47">
        <f>H141*1.1</f>
        <v>8800</v>
      </c>
      <c r="J141" s="47">
        <f>H141*0.9</f>
        <v>7200</v>
      </c>
      <c r="K141" s="68">
        <v>4.5</v>
      </c>
      <c r="L141" s="48" t="s">
        <v>32</v>
      </c>
      <c r="M141" s="49">
        <f t="shared" si="280"/>
        <v>4.4999999999999997E-3</v>
      </c>
      <c r="N141" s="50">
        <f>H141*M141</f>
        <v>36</v>
      </c>
      <c r="O141" s="50">
        <f>N141*1.25</f>
        <v>45</v>
      </c>
      <c r="P141" s="51">
        <f t="shared" ref="P141:P143" si="496">N141*1.4</f>
        <v>50.4</v>
      </c>
      <c r="Q141" s="50">
        <f>O137</f>
        <v>22.5</v>
      </c>
      <c r="R141" s="52">
        <f>N141/M141</f>
        <v>8000.0000000000009</v>
      </c>
      <c r="S141" s="52">
        <f>O141/M141</f>
        <v>10000</v>
      </c>
      <c r="T141" s="52">
        <f>P141/M141</f>
        <v>11200</v>
      </c>
      <c r="U141" s="67">
        <f>S137</f>
        <v>5000</v>
      </c>
      <c r="V141" s="45">
        <f ca="1">VLOOKUP(F141,AGE!F:J,4,FALSE)</f>
        <v>2001</v>
      </c>
      <c r="W141" s="45">
        <f ca="1">VLOOKUP(F141,AGE!F:J,5,FALSE)</f>
        <v>1920</v>
      </c>
      <c r="Y141" s="33">
        <f t="shared" si="334"/>
        <v>0</v>
      </c>
    </row>
    <row r="142" spans="1:25" x14ac:dyDescent="0.3">
      <c r="A142" s="33">
        <v>40</v>
      </c>
      <c r="B142" s="33">
        <v>70</v>
      </c>
      <c r="C142" s="33">
        <v>2</v>
      </c>
      <c r="D142" s="34" t="str">
        <f t="shared" si="467"/>
        <v>40702</v>
      </c>
      <c r="E142" s="33" t="s">
        <v>3</v>
      </c>
      <c r="F142" s="44" t="s">
        <v>20</v>
      </c>
      <c r="G142" s="45" t="s">
        <v>9</v>
      </c>
      <c r="H142" s="69">
        <v>22000</v>
      </c>
      <c r="I142" s="47">
        <f t="shared" ref="I142:I143" si="497">H142*1.1</f>
        <v>24200.000000000004</v>
      </c>
      <c r="J142" s="47">
        <f t="shared" ref="J142:J143" si="498">H142*0.9</f>
        <v>19800</v>
      </c>
      <c r="K142" s="47">
        <v>15</v>
      </c>
      <c r="L142" s="48" t="s">
        <v>28</v>
      </c>
      <c r="M142" s="49">
        <f t="shared" si="280"/>
        <v>4.0000000000000001E-3</v>
      </c>
      <c r="N142" s="50">
        <f t="shared" ref="N142:N143" si="499">H142*M142</f>
        <v>88</v>
      </c>
      <c r="O142" s="50">
        <f t="shared" ref="O142:O143" si="500">N142*1.25</f>
        <v>110</v>
      </c>
      <c r="P142" s="51">
        <f t="shared" si="496"/>
        <v>123.19999999999999</v>
      </c>
      <c r="Q142" s="50">
        <f>O138</f>
        <v>55</v>
      </c>
      <c r="R142" s="52">
        <f t="shared" ref="R142:R143" si="501">N142/M142</f>
        <v>22000</v>
      </c>
      <c r="S142" s="52">
        <f t="shared" ref="S142:S143" si="502">O142/M142</f>
        <v>27500</v>
      </c>
      <c r="T142" s="52">
        <f t="shared" ref="T142:T143" si="503">P142/M142</f>
        <v>30799.999999999996</v>
      </c>
      <c r="U142" s="67">
        <f>S138</f>
        <v>13750</v>
      </c>
      <c r="V142" s="45">
        <f ca="1">VLOOKUP(F142,AGE!F:J,4,FALSE)</f>
        <v>2001</v>
      </c>
      <c r="W142" s="45">
        <f ca="1">VLOOKUP(F142,AGE!F:J,5,FALSE)</f>
        <v>1920</v>
      </c>
      <c r="Y142" s="33">
        <f t="shared" si="334"/>
        <v>0</v>
      </c>
    </row>
    <row r="143" spans="1:25" x14ac:dyDescent="0.3">
      <c r="A143" s="33">
        <v>40</v>
      </c>
      <c r="B143" s="33">
        <v>70</v>
      </c>
      <c r="C143" s="33">
        <v>3</v>
      </c>
      <c r="D143" s="34" t="str">
        <f t="shared" si="467"/>
        <v>40703</v>
      </c>
      <c r="E143" s="33" t="s">
        <v>3</v>
      </c>
      <c r="F143" s="44" t="s">
        <v>20</v>
      </c>
      <c r="G143" s="45" t="s">
        <v>10</v>
      </c>
      <c r="H143" s="69">
        <v>4000</v>
      </c>
      <c r="I143" s="47">
        <f t="shared" si="497"/>
        <v>4400</v>
      </c>
      <c r="J143" s="47">
        <f t="shared" si="498"/>
        <v>3600</v>
      </c>
      <c r="K143" s="68">
        <v>4.5</v>
      </c>
      <c r="L143" s="48" t="s">
        <v>32</v>
      </c>
      <c r="M143" s="49">
        <f t="shared" si="280"/>
        <v>4.4999999999999997E-3</v>
      </c>
      <c r="N143" s="50">
        <f t="shared" si="499"/>
        <v>18</v>
      </c>
      <c r="O143" s="50">
        <f t="shared" si="500"/>
        <v>22.5</v>
      </c>
      <c r="P143" s="51">
        <f t="shared" si="496"/>
        <v>25.2</v>
      </c>
      <c r="Q143" s="50">
        <f>O139</f>
        <v>11.25</v>
      </c>
      <c r="R143" s="52">
        <f t="shared" si="501"/>
        <v>4000.0000000000005</v>
      </c>
      <c r="S143" s="52">
        <f t="shared" si="502"/>
        <v>5000</v>
      </c>
      <c r="T143" s="52">
        <f t="shared" si="503"/>
        <v>5600</v>
      </c>
      <c r="U143" s="67">
        <f>S139</f>
        <v>2500</v>
      </c>
      <c r="V143" s="45">
        <f ca="1">VLOOKUP(F143,AGE!F:J,4,FALSE)</f>
        <v>2001</v>
      </c>
      <c r="W143" s="45">
        <f ca="1">VLOOKUP(F143,AGE!F:J,5,FALSE)</f>
        <v>1920</v>
      </c>
      <c r="Y143" s="33">
        <f t="shared" si="334"/>
        <v>0</v>
      </c>
    </row>
    <row r="144" spans="1:25" x14ac:dyDescent="0.3">
      <c r="A144" s="33">
        <v>40</v>
      </c>
      <c r="B144" s="33">
        <v>70</v>
      </c>
      <c r="C144" s="33">
        <v>4</v>
      </c>
      <c r="D144" s="34" t="str">
        <f t="shared" si="467"/>
        <v>40704</v>
      </c>
      <c r="E144" s="33" t="s">
        <v>3</v>
      </c>
      <c r="F144" s="44" t="s">
        <v>20</v>
      </c>
      <c r="G144" s="55" t="s">
        <v>25</v>
      </c>
      <c r="H144" s="56">
        <f>SUM(H141:H143)</f>
        <v>34000</v>
      </c>
      <c r="I144" s="57">
        <f t="shared" ref="I144" si="504">SUM(I141:I143)</f>
        <v>37400</v>
      </c>
      <c r="J144" s="57">
        <f t="shared" ref="J144" si="505">SUM(J141:J143)</f>
        <v>30600</v>
      </c>
      <c r="K144" s="57"/>
      <c r="L144" s="58"/>
      <c r="M144" s="49" t="str">
        <f t="shared" si="280"/>
        <v/>
      </c>
      <c r="N144" s="60">
        <f t="shared" ref="N144" si="506">SUM(N141:N143)</f>
        <v>142</v>
      </c>
      <c r="O144" s="61">
        <f t="shared" ref="O144" si="507">SUM(O141:O143)</f>
        <v>177.5</v>
      </c>
      <c r="P144" s="62"/>
      <c r="Q144" s="57">
        <f t="shared" ref="Q144" si="508">SUM(Q141:Q142)</f>
        <v>77.5</v>
      </c>
      <c r="R144" s="64">
        <f>SUM(R141:R143)</f>
        <v>34000</v>
      </c>
      <c r="S144" s="64">
        <f>SUM(S141:S143)</f>
        <v>42500</v>
      </c>
      <c r="T144" s="65"/>
      <c r="U144" s="66">
        <f>SUM(U141:U143)</f>
        <v>21250</v>
      </c>
      <c r="V144" s="45">
        <f ca="1">VLOOKUP(F144,AGE!F:J,4,FALSE)</f>
        <v>2001</v>
      </c>
      <c r="W144" s="45">
        <f ca="1">VLOOKUP(F144,AGE!F:J,5,FALSE)</f>
        <v>1920</v>
      </c>
      <c r="Y144" s="33">
        <f t="shared" si="334"/>
        <v>0</v>
      </c>
    </row>
    <row r="145" spans="1:25" x14ac:dyDescent="0.3">
      <c r="A145" s="33">
        <v>40</v>
      </c>
      <c r="B145" s="33">
        <v>80</v>
      </c>
      <c r="C145" s="33">
        <v>1</v>
      </c>
      <c r="D145" s="34" t="str">
        <f t="shared" si="467"/>
        <v>40801</v>
      </c>
      <c r="E145" s="33" t="s">
        <v>3</v>
      </c>
      <c r="F145" s="44" t="s">
        <v>21</v>
      </c>
      <c r="G145" s="45" t="s">
        <v>10</v>
      </c>
      <c r="H145" s="69">
        <v>16000</v>
      </c>
      <c r="I145" s="47">
        <f>H145*1.1</f>
        <v>17600</v>
      </c>
      <c r="J145" s="47">
        <f>H145*0.9</f>
        <v>14400</v>
      </c>
      <c r="K145" s="68">
        <v>4.5</v>
      </c>
      <c r="L145" s="48" t="s">
        <v>32</v>
      </c>
      <c r="M145" s="49">
        <f t="shared" ref="M145:M156" si="509">IF(L145="Sec/100m",((K145)/60/100),(IF(L145="Km/h",60/K145/1000,(IF(L145="Min/km",K145/1000,"")))))</f>
        <v>4.4999999999999997E-3</v>
      </c>
      <c r="N145" s="50">
        <f>H145*M145</f>
        <v>72</v>
      </c>
      <c r="O145" s="50">
        <f>N145*1.25</f>
        <v>90</v>
      </c>
      <c r="P145" s="51"/>
      <c r="Q145" s="50">
        <f>O141</f>
        <v>45</v>
      </c>
      <c r="R145" s="52">
        <f>N145/M145</f>
        <v>16000.000000000002</v>
      </c>
      <c r="S145" s="52">
        <f>O145/M145</f>
        <v>20000</v>
      </c>
      <c r="T145" s="52">
        <f>P145/M145</f>
        <v>0</v>
      </c>
      <c r="U145" s="67">
        <f>S141</f>
        <v>10000</v>
      </c>
      <c r="V145" s="45">
        <f ca="1">VLOOKUP(F145,AGE!F:J,4,FALSE)</f>
        <v>2001</v>
      </c>
      <c r="W145" s="45">
        <f ca="1">VLOOKUP(F145,AGE!F:J,5,FALSE)</f>
        <v>1920</v>
      </c>
      <c r="Y145" s="33">
        <f t="shared" si="334"/>
        <v>0</v>
      </c>
    </row>
    <row r="146" spans="1:25" x14ac:dyDescent="0.3">
      <c r="A146" s="33">
        <v>40</v>
      </c>
      <c r="B146" s="33">
        <v>80</v>
      </c>
      <c r="C146" s="33">
        <v>2</v>
      </c>
      <c r="D146" s="34" t="str">
        <f t="shared" si="467"/>
        <v>40802</v>
      </c>
      <c r="E146" s="33" t="s">
        <v>3</v>
      </c>
      <c r="F146" s="44" t="s">
        <v>21</v>
      </c>
      <c r="G146" s="54" t="s">
        <v>13</v>
      </c>
      <c r="H146" s="69">
        <v>44000</v>
      </c>
      <c r="I146" s="47">
        <f t="shared" ref="I146:I147" si="510">H146*1.1</f>
        <v>48400.000000000007</v>
      </c>
      <c r="J146" s="47">
        <f t="shared" ref="J146:J147" si="511">H146*0.9</f>
        <v>39600</v>
      </c>
      <c r="K146" s="47">
        <v>15</v>
      </c>
      <c r="L146" s="48" t="s">
        <v>28</v>
      </c>
      <c r="M146" s="49">
        <f t="shared" si="509"/>
        <v>4.0000000000000001E-3</v>
      </c>
      <c r="N146" s="50">
        <f t="shared" ref="N146:N147" si="512">H146*M146</f>
        <v>176</v>
      </c>
      <c r="O146" s="50">
        <f t="shared" ref="O146:O147" si="513">N146*1.25</f>
        <v>220</v>
      </c>
      <c r="P146" s="51"/>
      <c r="Q146" s="50">
        <f>O142</f>
        <v>110</v>
      </c>
      <c r="R146" s="52">
        <f t="shared" ref="R146:R147" si="514">N146/M146</f>
        <v>44000</v>
      </c>
      <c r="S146" s="52">
        <f t="shared" ref="S146:S147" si="515">O146/M146</f>
        <v>55000</v>
      </c>
      <c r="T146" s="52">
        <f t="shared" ref="T146:T147" si="516">P146/M146</f>
        <v>0</v>
      </c>
      <c r="U146" s="67">
        <f>S142</f>
        <v>27500</v>
      </c>
      <c r="V146" s="45">
        <f ca="1">VLOOKUP(F146,AGE!F:J,4,FALSE)</f>
        <v>2001</v>
      </c>
      <c r="W146" s="45">
        <f ca="1">VLOOKUP(F146,AGE!F:J,5,FALSE)</f>
        <v>1920</v>
      </c>
      <c r="Y146" s="33">
        <f t="shared" si="334"/>
        <v>0</v>
      </c>
    </row>
    <row r="147" spans="1:25" x14ac:dyDescent="0.3">
      <c r="A147" s="33">
        <v>40</v>
      </c>
      <c r="B147" s="33">
        <v>80</v>
      </c>
      <c r="C147" s="33">
        <v>3</v>
      </c>
      <c r="D147" s="34" t="str">
        <f t="shared" si="467"/>
        <v>40803</v>
      </c>
      <c r="E147" s="33" t="s">
        <v>3</v>
      </c>
      <c r="F147" s="44" t="s">
        <v>21</v>
      </c>
      <c r="G147" s="45" t="s">
        <v>10</v>
      </c>
      <c r="H147" s="69">
        <v>8000</v>
      </c>
      <c r="I147" s="47">
        <f t="shared" si="510"/>
        <v>8800</v>
      </c>
      <c r="J147" s="47">
        <f t="shared" si="511"/>
        <v>7200</v>
      </c>
      <c r="K147" s="68">
        <v>4.5</v>
      </c>
      <c r="L147" s="48" t="s">
        <v>32</v>
      </c>
      <c r="M147" s="49">
        <f t="shared" si="509"/>
        <v>4.4999999999999997E-3</v>
      </c>
      <c r="N147" s="50">
        <f t="shared" si="512"/>
        <v>36</v>
      </c>
      <c r="O147" s="50">
        <f t="shared" si="513"/>
        <v>45</v>
      </c>
      <c r="P147" s="51"/>
      <c r="Q147" s="50">
        <f>O143</f>
        <v>22.5</v>
      </c>
      <c r="R147" s="52">
        <f t="shared" si="514"/>
        <v>8000.0000000000009</v>
      </c>
      <c r="S147" s="52">
        <f t="shared" si="515"/>
        <v>10000</v>
      </c>
      <c r="T147" s="52">
        <f t="shared" si="516"/>
        <v>0</v>
      </c>
      <c r="U147" s="67">
        <f>S143</f>
        <v>5000</v>
      </c>
      <c r="V147" s="45">
        <f ca="1">VLOOKUP(F147,AGE!F:J,4,FALSE)</f>
        <v>2001</v>
      </c>
      <c r="W147" s="45">
        <f ca="1">VLOOKUP(F147,AGE!F:J,5,FALSE)</f>
        <v>1920</v>
      </c>
      <c r="Y147" s="33">
        <f t="shared" si="334"/>
        <v>0</v>
      </c>
    </row>
    <row r="148" spans="1:25" x14ac:dyDescent="0.3">
      <c r="A148" s="33">
        <v>40</v>
      </c>
      <c r="B148" s="33">
        <v>80</v>
      </c>
      <c r="C148" s="33">
        <v>4</v>
      </c>
      <c r="D148" s="34" t="str">
        <f t="shared" si="467"/>
        <v>40804</v>
      </c>
      <c r="E148" s="33" t="s">
        <v>3</v>
      </c>
      <c r="F148" s="44" t="s">
        <v>21</v>
      </c>
      <c r="G148" s="55" t="s">
        <v>25</v>
      </c>
      <c r="H148" s="56">
        <f>SUM(H145:H147)</f>
        <v>68000</v>
      </c>
      <c r="I148" s="57">
        <f t="shared" ref="I148" si="517">SUM(I145:I147)</f>
        <v>74800</v>
      </c>
      <c r="J148" s="57">
        <f t="shared" ref="J148" si="518">SUM(J145:J147)</f>
        <v>61200</v>
      </c>
      <c r="K148" s="57"/>
      <c r="L148" s="58"/>
      <c r="M148" s="49" t="str">
        <f t="shared" si="509"/>
        <v/>
      </c>
      <c r="N148" s="60">
        <f t="shared" ref="N148" si="519">SUM(N145:N147)</f>
        <v>284</v>
      </c>
      <c r="O148" s="61">
        <f t="shared" ref="O148" si="520">SUM(O145:O147)</f>
        <v>355</v>
      </c>
      <c r="P148" s="62"/>
      <c r="Q148" s="57">
        <f t="shared" ref="Q148" si="521">SUM(Q145:Q146)</f>
        <v>155</v>
      </c>
      <c r="R148" s="64">
        <f>SUM(R145:R147)</f>
        <v>68000</v>
      </c>
      <c r="S148" s="64">
        <f>SUM(S145:S147)</f>
        <v>85000</v>
      </c>
      <c r="T148" s="65"/>
      <c r="U148" s="66">
        <f>SUM(U145:U147)</f>
        <v>42500</v>
      </c>
      <c r="V148" s="45">
        <f ca="1">VLOOKUP(F148,AGE!F:J,4,FALSE)</f>
        <v>2001</v>
      </c>
      <c r="W148" s="45">
        <f ca="1">VLOOKUP(F148,AGE!F:J,5,FALSE)</f>
        <v>1920</v>
      </c>
      <c r="Y148" s="33">
        <f t="shared" si="334"/>
        <v>0</v>
      </c>
    </row>
    <row r="149" spans="1:25" x14ac:dyDescent="0.3">
      <c r="A149" s="33">
        <v>40</v>
      </c>
      <c r="B149" s="33">
        <v>90</v>
      </c>
      <c r="C149" s="33">
        <v>1</v>
      </c>
      <c r="D149" s="34" t="str">
        <f t="shared" si="467"/>
        <v>40901</v>
      </c>
      <c r="E149" s="33" t="s">
        <v>3</v>
      </c>
      <c r="F149" s="44" t="s">
        <v>22</v>
      </c>
      <c r="G149" s="45" t="s">
        <v>10</v>
      </c>
      <c r="H149" s="69">
        <v>24000</v>
      </c>
      <c r="I149" s="47">
        <f>H149*1.1</f>
        <v>26400.000000000004</v>
      </c>
      <c r="J149" s="47">
        <f>H149*0.9</f>
        <v>21600</v>
      </c>
      <c r="K149" s="68">
        <v>4.5</v>
      </c>
      <c r="L149" s="48" t="s">
        <v>32</v>
      </c>
      <c r="M149" s="49">
        <f t="shared" si="509"/>
        <v>4.4999999999999997E-3</v>
      </c>
      <c r="N149" s="50">
        <f>H149*M149</f>
        <v>107.99999999999999</v>
      </c>
      <c r="O149" s="50">
        <f>N149*1.25</f>
        <v>134.99999999999997</v>
      </c>
      <c r="P149" s="51"/>
      <c r="Q149" s="50">
        <f>O145</f>
        <v>90</v>
      </c>
      <c r="R149" s="52">
        <f>N149/M149</f>
        <v>24000</v>
      </c>
      <c r="S149" s="52">
        <f>O149/M149</f>
        <v>29999.999999999996</v>
      </c>
      <c r="T149" s="52">
        <f>P149/M149</f>
        <v>0</v>
      </c>
      <c r="U149" s="181">
        <f t="shared" ref="U149:U151" si="522">(N149*0.75)/M149</f>
        <v>18000</v>
      </c>
      <c r="V149" s="45">
        <f ca="1">VLOOKUP(F149,AGE!F:J,4,FALSE)</f>
        <v>2001</v>
      </c>
      <c r="W149" s="45">
        <f ca="1">VLOOKUP(F149,AGE!F:J,5,FALSE)</f>
        <v>1920</v>
      </c>
      <c r="Y149" s="33">
        <f t="shared" si="334"/>
        <v>0</v>
      </c>
    </row>
    <row r="150" spans="1:25" x14ac:dyDescent="0.3">
      <c r="A150" s="33">
        <v>40</v>
      </c>
      <c r="B150" s="33">
        <v>90</v>
      </c>
      <c r="C150" s="33">
        <v>2</v>
      </c>
      <c r="D150" s="34" t="str">
        <f t="shared" si="467"/>
        <v>40902</v>
      </c>
      <c r="E150" s="33" t="s">
        <v>3</v>
      </c>
      <c r="F150" s="44" t="s">
        <v>22</v>
      </c>
      <c r="G150" s="54" t="s">
        <v>13</v>
      </c>
      <c r="H150" s="69">
        <v>66000</v>
      </c>
      <c r="I150" s="47">
        <f t="shared" ref="I150:I151" si="523">H150*1.1</f>
        <v>72600</v>
      </c>
      <c r="J150" s="47">
        <f t="shared" ref="J150:J151" si="524">H150*0.9</f>
        <v>59400</v>
      </c>
      <c r="K150" s="47">
        <v>15</v>
      </c>
      <c r="L150" s="48" t="s">
        <v>28</v>
      </c>
      <c r="M150" s="49">
        <f t="shared" si="509"/>
        <v>4.0000000000000001E-3</v>
      </c>
      <c r="N150" s="50">
        <f>H150*M150</f>
        <v>264</v>
      </c>
      <c r="O150" s="50">
        <f t="shared" ref="O150:O151" si="525">N150*1.25</f>
        <v>330</v>
      </c>
      <c r="P150" s="51"/>
      <c r="Q150" s="50">
        <f>O146</f>
        <v>220</v>
      </c>
      <c r="R150" s="52">
        <f t="shared" ref="R150:R151" si="526">N150/M150</f>
        <v>66000</v>
      </c>
      <c r="S150" s="52">
        <f t="shared" ref="S150:S151" si="527">O150/M150</f>
        <v>82500</v>
      </c>
      <c r="T150" s="52">
        <f t="shared" ref="T150:T151" si="528">P150/M150</f>
        <v>0</v>
      </c>
      <c r="U150" s="181">
        <f t="shared" si="522"/>
        <v>49500</v>
      </c>
      <c r="V150" s="45">
        <f ca="1">VLOOKUP(F150,AGE!F:J,4,FALSE)</f>
        <v>2001</v>
      </c>
      <c r="W150" s="45">
        <f ca="1">VLOOKUP(F150,AGE!F:J,5,FALSE)</f>
        <v>1920</v>
      </c>
      <c r="Y150" s="33">
        <f t="shared" si="334"/>
        <v>0</v>
      </c>
    </row>
    <row r="151" spans="1:25" x14ac:dyDescent="0.3">
      <c r="A151" s="33">
        <v>40</v>
      </c>
      <c r="B151" s="33">
        <v>90</v>
      </c>
      <c r="C151" s="33">
        <v>3</v>
      </c>
      <c r="D151" s="34" t="str">
        <f t="shared" si="467"/>
        <v>40903</v>
      </c>
      <c r="E151" s="33" t="s">
        <v>3</v>
      </c>
      <c r="F151" s="44" t="s">
        <v>22</v>
      </c>
      <c r="G151" s="45" t="s">
        <v>10</v>
      </c>
      <c r="H151" s="69">
        <v>12000</v>
      </c>
      <c r="I151" s="47">
        <f t="shared" si="523"/>
        <v>13200.000000000002</v>
      </c>
      <c r="J151" s="47">
        <f t="shared" si="524"/>
        <v>10800</v>
      </c>
      <c r="K151" s="68">
        <v>4.5</v>
      </c>
      <c r="L151" s="48" t="s">
        <v>32</v>
      </c>
      <c r="M151" s="49">
        <f t="shared" si="509"/>
        <v>4.4999999999999997E-3</v>
      </c>
      <c r="N151" s="50">
        <f t="shared" ref="N151" si="529">H151*M151</f>
        <v>53.999999999999993</v>
      </c>
      <c r="O151" s="50">
        <f t="shared" si="525"/>
        <v>67.499999999999986</v>
      </c>
      <c r="P151" s="51"/>
      <c r="Q151" s="50">
        <f>O147</f>
        <v>45</v>
      </c>
      <c r="R151" s="52">
        <f t="shared" si="526"/>
        <v>12000</v>
      </c>
      <c r="S151" s="52">
        <f t="shared" si="527"/>
        <v>14999.999999999998</v>
      </c>
      <c r="T151" s="52">
        <f t="shared" si="528"/>
        <v>0</v>
      </c>
      <c r="U151" s="181">
        <f t="shared" si="522"/>
        <v>9000</v>
      </c>
      <c r="V151" s="45">
        <f ca="1">VLOOKUP(F151,AGE!F:J,4,FALSE)</f>
        <v>2001</v>
      </c>
      <c r="W151" s="45">
        <f ca="1">VLOOKUP(F151,AGE!F:J,5,FALSE)</f>
        <v>1920</v>
      </c>
      <c r="Y151" s="33">
        <f t="shared" si="334"/>
        <v>0</v>
      </c>
    </row>
    <row r="152" spans="1:25" x14ac:dyDescent="0.3">
      <c r="A152" s="33">
        <v>40</v>
      </c>
      <c r="B152" s="33">
        <v>90</v>
      </c>
      <c r="C152" s="33">
        <v>4</v>
      </c>
      <c r="D152" s="34" t="str">
        <f t="shared" si="467"/>
        <v>40904</v>
      </c>
      <c r="E152" s="33" t="s">
        <v>3</v>
      </c>
      <c r="F152" s="44" t="s">
        <v>22</v>
      </c>
      <c r="G152" s="55" t="s">
        <v>25</v>
      </c>
      <c r="H152" s="56">
        <f>SUM(H149:H151)</f>
        <v>102000</v>
      </c>
      <c r="I152" s="57">
        <f t="shared" ref="I152" si="530">SUM(I149:I151)</f>
        <v>112200</v>
      </c>
      <c r="J152" s="57">
        <f t="shared" ref="J152" si="531">SUM(J149:J151)</f>
        <v>91800</v>
      </c>
      <c r="K152" s="57"/>
      <c r="L152" s="58"/>
      <c r="M152" s="49" t="str">
        <f t="shared" si="509"/>
        <v/>
      </c>
      <c r="N152" s="60">
        <f t="shared" ref="N152" si="532">SUM(N149:N151)</f>
        <v>426</v>
      </c>
      <c r="O152" s="61">
        <f t="shared" ref="O152" si="533">SUM(O149:O151)</f>
        <v>532.5</v>
      </c>
      <c r="P152" s="62"/>
      <c r="Q152" s="57">
        <f t="shared" ref="Q152" si="534">SUM(Q149:Q150)</f>
        <v>310</v>
      </c>
      <c r="R152" s="64">
        <f>SUM(R149:R151)</f>
        <v>102000</v>
      </c>
      <c r="S152" s="64">
        <f>SUM(S149:S151)</f>
        <v>127500</v>
      </c>
      <c r="T152" s="65"/>
      <c r="U152" s="66">
        <f>SUM(U149:U151)</f>
        <v>76500</v>
      </c>
      <c r="V152" s="45">
        <f ca="1">VLOOKUP(F152,AGE!F:J,4,FALSE)</f>
        <v>2001</v>
      </c>
      <c r="W152" s="45">
        <f ca="1">VLOOKUP(F152,AGE!F:J,5,FALSE)</f>
        <v>1920</v>
      </c>
      <c r="Y152" s="33">
        <f t="shared" si="334"/>
        <v>0</v>
      </c>
    </row>
    <row r="153" spans="1:25" x14ac:dyDescent="0.3">
      <c r="A153" s="33">
        <v>50</v>
      </c>
      <c r="B153" s="33">
        <v>10</v>
      </c>
      <c r="C153" s="33">
        <v>1</v>
      </c>
      <c r="D153" s="34" t="str">
        <f t="shared" si="467"/>
        <v>50101</v>
      </c>
      <c r="E153" s="33" t="s">
        <v>11</v>
      </c>
      <c r="F153" s="44" t="s">
        <v>14</v>
      </c>
      <c r="G153" s="45" t="s">
        <v>8</v>
      </c>
      <c r="H153" s="46">
        <v>50</v>
      </c>
      <c r="I153" s="47">
        <f>H153*1.1</f>
        <v>55.000000000000007</v>
      </c>
      <c r="J153" s="47">
        <f>H153*0.9</f>
        <v>45</v>
      </c>
      <c r="K153" s="47">
        <f>60+50</f>
        <v>110</v>
      </c>
      <c r="L153" s="48" t="s">
        <v>31</v>
      </c>
      <c r="M153" s="49">
        <f t="shared" si="509"/>
        <v>1.8333333333333333E-2</v>
      </c>
      <c r="N153" s="50">
        <f>H153*M153</f>
        <v>0.91666666666666663</v>
      </c>
      <c r="O153" s="50">
        <f>N153*1.25</f>
        <v>1.1458333333333333</v>
      </c>
      <c r="P153" s="51">
        <f>N153*1.4</f>
        <v>1.2833333333333332</v>
      </c>
      <c r="Q153" s="50"/>
      <c r="R153" s="52">
        <f>N153/M153</f>
        <v>50</v>
      </c>
      <c r="S153" s="52">
        <f>O153/M153</f>
        <v>62.499999999999993</v>
      </c>
      <c r="T153" s="52">
        <f>P153/M153</f>
        <v>70</v>
      </c>
      <c r="U153" s="53">
        <f>+R153/2</f>
        <v>25</v>
      </c>
      <c r="V153" s="45">
        <f ca="1">VLOOKUP(F153,AGE!F:J,4,FALSE)</f>
        <v>2013</v>
      </c>
      <c r="W153" s="45">
        <f ca="1">VLOOKUP(F153,AGE!F:J,5,FALSE)</f>
        <v>2010</v>
      </c>
      <c r="Y153" s="33">
        <f t="shared" si="334"/>
        <v>0</v>
      </c>
    </row>
    <row r="154" spans="1:25" x14ac:dyDescent="0.3">
      <c r="A154" s="33">
        <v>50</v>
      </c>
      <c r="B154" s="33">
        <v>10</v>
      </c>
      <c r="C154" s="33">
        <v>2</v>
      </c>
      <c r="D154" s="34" t="str">
        <f t="shared" si="467"/>
        <v>50102</v>
      </c>
      <c r="E154" s="33" t="s">
        <v>11</v>
      </c>
      <c r="F154" s="44" t="s">
        <v>14</v>
      </c>
      <c r="G154" s="45" t="s">
        <v>10</v>
      </c>
      <c r="H154" s="69">
        <v>500</v>
      </c>
      <c r="I154" s="47">
        <f t="shared" ref="I154" si="535">H154*1.1</f>
        <v>550</v>
      </c>
      <c r="J154" s="47">
        <f t="shared" ref="J154" si="536">H154*0.9</f>
        <v>450</v>
      </c>
      <c r="K154" s="68">
        <v>5</v>
      </c>
      <c r="L154" s="48" t="s">
        <v>32</v>
      </c>
      <c r="M154" s="49">
        <f t="shared" si="509"/>
        <v>5.0000000000000001E-3</v>
      </c>
      <c r="N154" s="50">
        <f t="shared" ref="N154" si="537">H154*M154</f>
        <v>2.5</v>
      </c>
      <c r="O154" s="50">
        <f t="shared" ref="O154" si="538">N154*1.25</f>
        <v>3.125</v>
      </c>
      <c r="P154" s="51">
        <f t="shared" ref="P154" si="539">N154*1.4</f>
        <v>3.5</v>
      </c>
      <c r="Q154" s="50"/>
      <c r="R154" s="52">
        <f t="shared" ref="R154" si="540">N154/M154</f>
        <v>500</v>
      </c>
      <c r="S154" s="52">
        <f t="shared" ref="S154" si="541">O154/M154</f>
        <v>625</v>
      </c>
      <c r="T154" s="52">
        <f t="shared" ref="T154" si="542">P154/M154</f>
        <v>700</v>
      </c>
      <c r="U154" s="53">
        <f>+R154/2</f>
        <v>250</v>
      </c>
      <c r="V154" s="45">
        <f ca="1">VLOOKUP(F154,AGE!F:J,4,FALSE)</f>
        <v>2013</v>
      </c>
      <c r="W154" s="45">
        <f ca="1">VLOOKUP(F154,AGE!F:J,5,FALSE)</f>
        <v>2010</v>
      </c>
      <c r="Y154" s="33">
        <f t="shared" si="334"/>
        <v>0</v>
      </c>
    </row>
    <row r="155" spans="1:25" x14ac:dyDescent="0.3">
      <c r="A155" s="33">
        <v>50</v>
      </c>
      <c r="B155" s="33">
        <v>10</v>
      </c>
      <c r="C155" s="33">
        <v>3</v>
      </c>
      <c r="D155" s="34" t="str">
        <f t="shared" si="467"/>
        <v>50103</v>
      </c>
      <c r="E155" s="33" t="s">
        <v>11</v>
      </c>
      <c r="F155" s="44" t="s">
        <v>14</v>
      </c>
      <c r="G155" s="45"/>
      <c r="H155" s="69"/>
      <c r="I155" s="47"/>
      <c r="J155" s="47"/>
      <c r="K155" s="68"/>
      <c r="L155" s="48"/>
      <c r="M155" s="49"/>
      <c r="N155" s="50"/>
      <c r="O155" s="50"/>
      <c r="P155" s="51"/>
      <c r="Q155" s="50"/>
      <c r="R155" s="52"/>
      <c r="S155" s="52"/>
      <c r="T155" s="52"/>
      <c r="U155" s="53"/>
      <c r="V155" s="45">
        <f ca="1">VLOOKUP(F155,AGE!F:J,4,FALSE)</f>
        <v>2013</v>
      </c>
      <c r="W155" s="45">
        <f ca="1">VLOOKUP(F155,AGE!F:J,5,FALSE)</f>
        <v>2010</v>
      </c>
      <c r="Y155" s="33">
        <f t="shared" si="334"/>
        <v>0</v>
      </c>
    </row>
    <row r="156" spans="1:25" x14ac:dyDescent="0.3">
      <c r="A156" s="33">
        <v>50</v>
      </c>
      <c r="B156" s="33">
        <v>10</v>
      </c>
      <c r="C156" s="33">
        <v>4</v>
      </c>
      <c r="D156" s="34" t="str">
        <f t="shared" si="467"/>
        <v>50104</v>
      </c>
      <c r="E156" s="33" t="s">
        <v>11</v>
      </c>
      <c r="F156" s="44" t="s">
        <v>14</v>
      </c>
      <c r="G156" s="55" t="s">
        <v>25</v>
      </c>
      <c r="H156" s="56">
        <f>SUM(H153:H154)</f>
        <v>550</v>
      </c>
      <c r="I156" s="57">
        <f t="shared" ref="I156:J156" si="543">SUM(I153:I154)</f>
        <v>605</v>
      </c>
      <c r="J156" s="57">
        <f t="shared" si="543"/>
        <v>495</v>
      </c>
      <c r="K156" s="57">
        <f t="shared" ref="K156" si="544">SUM(K153:K154)</f>
        <v>115</v>
      </c>
      <c r="L156" s="57"/>
      <c r="M156" s="49" t="str">
        <f t="shared" si="509"/>
        <v/>
      </c>
      <c r="N156" s="57">
        <f>SUM(N153:N154)</f>
        <v>3.4166666666666665</v>
      </c>
      <c r="O156" s="57">
        <f t="shared" ref="O156" si="545">SUM(O153:O154)</f>
        <v>4.270833333333333</v>
      </c>
      <c r="P156" s="57">
        <f t="shared" ref="P156:Q156" si="546">SUM(P153:P154)</f>
        <v>4.7833333333333332</v>
      </c>
      <c r="Q156" s="57">
        <f t="shared" si="546"/>
        <v>0</v>
      </c>
      <c r="R156" s="64">
        <f>SUM(R153:R155)</f>
        <v>550</v>
      </c>
      <c r="S156" s="64">
        <f>SUM(S153:S155)</f>
        <v>687.5</v>
      </c>
      <c r="T156" s="65"/>
      <c r="U156" s="66">
        <f>SUM(U153:U155)</f>
        <v>275</v>
      </c>
      <c r="V156" s="45">
        <f ca="1">VLOOKUP(F156,AGE!F:J,4,FALSE)</f>
        <v>2013</v>
      </c>
      <c r="W156" s="45">
        <f ca="1">VLOOKUP(F156,AGE!F:J,5,FALSE)</f>
        <v>2010</v>
      </c>
      <c r="Y156" s="33">
        <f t="shared" si="334"/>
        <v>0</v>
      </c>
    </row>
    <row r="157" spans="1:25" x14ac:dyDescent="0.3">
      <c r="A157" s="33">
        <v>50</v>
      </c>
      <c r="B157" s="33">
        <v>20</v>
      </c>
      <c r="C157" s="33">
        <v>1</v>
      </c>
      <c r="D157" s="34" t="str">
        <f t="shared" si="467"/>
        <v>50201</v>
      </c>
      <c r="E157" s="33" t="s">
        <v>11</v>
      </c>
      <c r="F157" s="44" t="s">
        <v>15</v>
      </c>
      <c r="G157" s="70" t="s">
        <v>8</v>
      </c>
      <c r="H157" s="36">
        <v>100</v>
      </c>
      <c r="I157" s="47">
        <f>H157*1.1</f>
        <v>110.00000000000001</v>
      </c>
      <c r="J157" s="47">
        <f>H157*0.9</f>
        <v>90</v>
      </c>
      <c r="K157" s="47">
        <f>60+50</f>
        <v>110</v>
      </c>
      <c r="L157" s="48" t="s">
        <v>31</v>
      </c>
      <c r="M157" s="49">
        <f t="shared" ref="M157:M172" si="547">IF(L157="Sec/100m",((K157)/60/100),(IF(L157="Km/h",60/K157/1000,(IF(L157="Min/km",K157/1000,"")))))</f>
        <v>1.8333333333333333E-2</v>
      </c>
      <c r="N157" s="50">
        <f>H157*M157</f>
        <v>1.8333333333333333</v>
      </c>
      <c r="O157" s="50">
        <f>N157*1.25</f>
        <v>2.2916666666666665</v>
      </c>
      <c r="P157" s="51">
        <f>N157*1.4</f>
        <v>2.5666666666666664</v>
      </c>
      <c r="Q157" s="50">
        <f>O153</f>
        <v>1.1458333333333333</v>
      </c>
      <c r="R157" s="52">
        <f>N157/M157</f>
        <v>100</v>
      </c>
      <c r="S157" s="52">
        <f>O157/M157</f>
        <v>124.99999999999999</v>
      </c>
      <c r="T157" s="52">
        <f>P157/M157</f>
        <v>140</v>
      </c>
      <c r="U157" s="67">
        <f>S153</f>
        <v>62.499999999999993</v>
      </c>
      <c r="V157" s="45">
        <f ca="1">VLOOKUP(F157,AGE!F:J,4,FALSE)</f>
        <v>2011</v>
      </c>
      <c r="W157" s="45">
        <f ca="1">VLOOKUP(F157,AGE!F:J,5,FALSE)</f>
        <v>2008</v>
      </c>
      <c r="Y157" s="33">
        <f t="shared" si="334"/>
        <v>0</v>
      </c>
    </row>
    <row r="158" spans="1:25" x14ac:dyDescent="0.3">
      <c r="A158" s="33">
        <v>50</v>
      </c>
      <c r="B158" s="33">
        <v>20</v>
      </c>
      <c r="C158" s="33">
        <v>2</v>
      </c>
      <c r="D158" s="34" t="str">
        <f t="shared" si="467"/>
        <v>50202</v>
      </c>
      <c r="E158" s="33" t="s">
        <v>11</v>
      </c>
      <c r="F158" s="44" t="s">
        <v>15</v>
      </c>
      <c r="G158" s="70" t="s">
        <v>10</v>
      </c>
      <c r="H158" s="36">
        <v>1000</v>
      </c>
      <c r="I158" s="47">
        <f t="shared" ref="I158" si="548">H158*1.1</f>
        <v>1100</v>
      </c>
      <c r="J158" s="47">
        <f t="shared" ref="J158" si="549">H158*0.9</f>
        <v>900</v>
      </c>
      <c r="K158" s="68">
        <v>5</v>
      </c>
      <c r="L158" s="48" t="s">
        <v>32</v>
      </c>
      <c r="M158" s="49">
        <f t="shared" si="547"/>
        <v>5.0000000000000001E-3</v>
      </c>
      <c r="N158" s="50">
        <f t="shared" ref="N158" si="550">H158*M158</f>
        <v>5</v>
      </c>
      <c r="O158" s="50">
        <f t="shared" ref="O158" si="551">N158*1.25</f>
        <v>6.25</v>
      </c>
      <c r="P158" s="51">
        <f t="shared" ref="P158" si="552">N158*1.4</f>
        <v>7</v>
      </c>
      <c r="Q158" s="50">
        <f>O154</f>
        <v>3.125</v>
      </c>
      <c r="R158" s="52">
        <f t="shared" ref="R158" si="553">N158/M158</f>
        <v>1000</v>
      </c>
      <c r="S158" s="52">
        <f t="shared" ref="S158" si="554">O158/M158</f>
        <v>1250</v>
      </c>
      <c r="T158" s="52">
        <f t="shared" ref="T158" si="555">P158/M158</f>
        <v>1400</v>
      </c>
      <c r="U158" s="67">
        <f>S154</f>
        <v>625</v>
      </c>
      <c r="V158" s="45">
        <f ca="1">VLOOKUP(F158,AGE!F:J,4,FALSE)</f>
        <v>2011</v>
      </c>
      <c r="W158" s="45">
        <f ca="1">VLOOKUP(F158,AGE!F:J,5,FALSE)</f>
        <v>2008</v>
      </c>
      <c r="Y158" s="33">
        <f t="shared" si="334"/>
        <v>0</v>
      </c>
    </row>
    <row r="159" spans="1:25" x14ac:dyDescent="0.3">
      <c r="A159" s="33">
        <v>50</v>
      </c>
      <c r="B159" s="33">
        <v>20</v>
      </c>
      <c r="C159" s="33">
        <v>3</v>
      </c>
      <c r="D159" s="34" t="str">
        <f t="shared" ref="D159" si="556">CONCATENATE(A159,B159,C159)</f>
        <v>50203</v>
      </c>
      <c r="E159" s="33" t="s">
        <v>11</v>
      </c>
      <c r="F159" s="44" t="s">
        <v>15</v>
      </c>
      <c r="G159" s="70"/>
      <c r="I159" s="47"/>
      <c r="J159" s="47"/>
      <c r="K159" s="68"/>
      <c r="L159" s="48"/>
      <c r="M159" s="49"/>
      <c r="N159" s="50"/>
      <c r="O159" s="50"/>
      <c r="P159" s="51"/>
      <c r="Q159" s="50"/>
      <c r="R159" s="52"/>
      <c r="S159" s="52"/>
      <c r="T159" s="52"/>
      <c r="U159" s="67">
        <f>S155</f>
        <v>0</v>
      </c>
      <c r="V159" s="45">
        <f ca="1">VLOOKUP(F159,AGE!F:J,4,FALSE)</f>
        <v>2011</v>
      </c>
      <c r="W159" s="45">
        <f ca="1">VLOOKUP(F159,AGE!F:J,5,FALSE)</f>
        <v>2008</v>
      </c>
      <c r="Y159" s="33">
        <f t="shared" ref="Y159:Y222" si="557">IF(U159&gt;R159,"Attention dist basse assimilée &gt; distance officielle",)</f>
        <v>0</v>
      </c>
    </row>
    <row r="160" spans="1:25" x14ac:dyDescent="0.3">
      <c r="A160" s="33">
        <v>50</v>
      </c>
      <c r="B160" s="33">
        <v>20</v>
      </c>
      <c r="C160" s="33">
        <v>4</v>
      </c>
      <c r="D160" s="34" t="str">
        <f t="shared" si="467"/>
        <v>50204</v>
      </c>
      <c r="E160" s="33" t="s">
        <v>11</v>
      </c>
      <c r="F160" s="44" t="s">
        <v>15</v>
      </c>
      <c r="G160" s="55" t="s">
        <v>25</v>
      </c>
      <c r="H160" s="56">
        <f>SUM(H157:H158)</f>
        <v>1100</v>
      </c>
      <c r="I160" s="57">
        <f t="shared" ref="I160" si="558">SUM(I157:I158)</f>
        <v>1210</v>
      </c>
      <c r="J160" s="57">
        <f t="shared" ref="J160" si="559">SUM(J157:J158)</f>
        <v>990</v>
      </c>
      <c r="K160" s="57">
        <f t="shared" ref="K160" si="560">SUM(K157:K158)</f>
        <v>115</v>
      </c>
      <c r="L160" s="57"/>
      <c r="M160" s="49" t="str">
        <f t="shared" si="547"/>
        <v/>
      </c>
      <c r="N160" s="57">
        <f>SUM(N157:N158)</f>
        <v>6.833333333333333</v>
      </c>
      <c r="O160" s="57">
        <f t="shared" ref="O160" si="561">SUM(O157:O158)</f>
        <v>8.5416666666666661</v>
      </c>
      <c r="P160" s="57">
        <f t="shared" ref="P160:Q160" si="562">SUM(P157:P158)</f>
        <v>9.5666666666666664</v>
      </c>
      <c r="Q160" s="57">
        <f t="shared" si="562"/>
        <v>4.270833333333333</v>
      </c>
      <c r="R160" s="64">
        <f>SUM(R157:R159)</f>
        <v>1100</v>
      </c>
      <c r="S160" s="64">
        <f>SUM(S157:S159)</f>
        <v>1375</v>
      </c>
      <c r="T160" s="65"/>
      <c r="U160" s="66">
        <f>SUM(U157:U159)</f>
        <v>687.5</v>
      </c>
      <c r="V160" s="45">
        <f ca="1">VLOOKUP(F160,AGE!F:J,4,FALSE)</f>
        <v>2011</v>
      </c>
      <c r="W160" s="45">
        <f ca="1">VLOOKUP(F160,AGE!F:J,5,FALSE)</f>
        <v>2008</v>
      </c>
      <c r="Y160" s="33">
        <f t="shared" si="557"/>
        <v>0</v>
      </c>
    </row>
    <row r="161" spans="1:25" x14ac:dyDescent="0.3">
      <c r="A161" s="33">
        <v>50</v>
      </c>
      <c r="B161" s="33">
        <v>30</v>
      </c>
      <c r="C161" s="33">
        <v>1</v>
      </c>
      <c r="D161" s="34" t="str">
        <f t="shared" si="467"/>
        <v>50301</v>
      </c>
      <c r="E161" s="33" t="s">
        <v>11</v>
      </c>
      <c r="F161" s="44" t="s">
        <v>79</v>
      </c>
      <c r="G161" s="70" t="s">
        <v>8</v>
      </c>
      <c r="H161" s="36">
        <v>200</v>
      </c>
      <c r="I161" s="47">
        <f>H161*1.1</f>
        <v>220.00000000000003</v>
      </c>
      <c r="J161" s="47">
        <f>H161*0.9</f>
        <v>180</v>
      </c>
      <c r="K161" s="47">
        <f>60+50</f>
        <v>110</v>
      </c>
      <c r="L161" s="48" t="s">
        <v>31</v>
      </c>
      <c r="M161" s="49">
        <f t="shared" si="547"/>
        <v>1.8333333333333333E-2</v>
      </c>
      <c r="N161" s="50">
        <f>H161*M161</f>
        <v>3.6666666666666665</v>
      </c>
      <c r="O161" s="50">
        <f>N161*1.25</f>
        <v>4.583333333333333</v>
      </c>
      <c r="P161" s="51">
        <f>N161*1.4</f>
        <v>5.1333333333333329</v>
      </c>
      <c r="Q161" s="50">
        <f>O157</f>
        <v>2.2916666666666665</v>
      </c>
      <c r="R161" s="52">
        <f>N161/M161</f>
        <v>200</v>
      </c>
      <c r="S161" s="52">
        <f>O161/M161</f>
        <v>249.99999999999997</v>
      </c>
      <c r="T161" s="52">
        <f>P161/M161</f>
        <v>280</v>
      </c>
      <c r="U161" s="67">
        <f>S157</f>
        <v>124.99999999999999</v>
      </c>
      <c r="V161" s="45">
        <f ca="1">VLOOKUP(F161,AGE!F:J,4,FALSE)</f>
        <v>2009</v>
      </c>
      <c r="W161" s="45">
        <f ca="1">VLOOKUP(F161,AGE!F:J,5,FALSE)</f>
        <v>2006</v>
      </c>
      <c r="Y161" s="33">
        <f t="shared" si="557"/>
        <v>0</v>
      </c>
    </row>
    <row r="162" spans="1:25" x14ac:dyDescent="0.3">
      <c r="A162" s="33">
        <v>50</v>
      </c>
      <c r="B162" s="33">
        <v>30</v>
      </c>
      <c r="C162" s="33">
        <v>2</v>
      </c>
      <c r="D162" s="34" t="str">
        <f t="shared" si="467"/>
        <v>50302</v>
      </c>
      <c r="E162" s="33" t="s">
        <v>11</v>
      </c>
      <c r="F162" s="44" t="s">
        <v>79</v>
      </c>
      <c r="G162" s="70" t="s">
        <v>10</v>
      </c>
      <c r="H162" s="36">
        <v>1500</v>
      </c>
      <c r="I162" s="47">
        <f t="shared" ref="I162" si="563">H162*1.1</f>
        <v>1650.0000000000002</v>
      </c>
      <c r="J162" s="47">
        <f t="shared" ref="J162" si="564">H162*0.9</f>
        <v>1350</v>
      </c>
      <c r="K162" s="68">
        <v>5</v>
      </c>
      <c r="L162" s="48" t="s">
        <v>32</v>
      </c>
      <c r="M162" s="49">
        <f t="shared" si="547"/>
        <v>5.0000000000000001E-3</v>
      </c>
      <c r="N162" s="50">
        <f t="shared" ref="N162" si="565">H162*M162</f>
        <v>7.5</v>
      </c>
      <c r="O162" s="50">
        <f t="shared" ref="O162" si="566">N162*1.25</f>
        <v>9.375</v>
      </c>
      <c r="P162" s="51">
        <f t="shared" ref="P162" si="567">N162*1.4</f>
        <v>10.5</v>
      </c>
      <c r="Q162" s="50">
        <f>O158</f>
        <v>6.25</v>
      </c>
      <c r="R162" s="52">
        <f t="shared" ref="R162" si="568">N162/M162</f>
        <v>1500</v>
      </c>
      <c r="S162" s="52">
        <f t="shared" ref="S162" si="569">O162/M162</f>
        <v>1875</v>
      </c>
      <c r="T162" s="52">
        <f t="shared" ref="T162" si="570">P162/M162</f>
        <v>2100</v>
      </c>
      <c r="U162" s="67">
        <f>S158</f>
        <v>1250</v>
      </c>
      <c r="V162" s="45">
        <f ca="1">VLOOKUP(F162,AGE!F:J,4,FALSE)</f>
        <v>2009</v>
      </c>
      <c r="W162" s="45">
        <f ca="1">VLOOKUP(F162,AGE!F:J,5,FALSE)</f>
        <v>2006</v>
      </c>
      <c r="Y162" s="33">
        <f t="shared" si="557"/>
        <v>0</v>
      </c>
    </row>
    <row r="163" spans="1:25" x14ac:dyDescent="0.3">
      <c r="A163" s="33">
        <v>50</v>
      </c>
      <c r="B163" s="33">
        <v>30</v>
      </c>
      <c r="C163" s="33">
        <v>3</v>
      </c>
      <c r="D163" s="34" t="str">
        <f t="shared" ref="D163:D179" si="571">CONCATENATE(A163,B163,C163)</f>
        <v>50303</v>
      </c>
      <c r="E163" s="33" t="s">
        <v>11</v>
      </c>
      <c r="F163" s="44" t="s">
        <v>79</v>
      </c>
      <c r="G163" s="70"/>
      <c r="I163" s="47"/>
      <c r="J163" s="47"/>
      <c r="K163" s="68"/>
      <c r="L163" s="48"/>
      <c r="M163" s="49"/>
      <c r="N163" s="50"/>
      <c r="O163" s="50"/>
      <c r="P163" s="51"/>
      <c r="Q163" s="50"/>
      <c r="R163" s="52"/>
      <c r="S163" s="52"/>
      <c r="T163" s="52"/>
      <c r="U163" s="67">
        <f>S159</f>
        <v>0</v>
      </c>
      <c r="V163" s="45">
        <f ca="1">VLOOKUP(F163,AGE!F:J,4,FALSE)</f>
        <v>2009</v>
      </c>
      <c r="W163" s="45">
        <f ca="1">VLOOKUP(F163,AGE!F:J,5,FALSE)</f>
        <v>2006</v>
      </c>
      <c r="Y163" s="33">
        <f t="shared" si="557"/>
        <v>0</v>
      </c>
    </row>
    <row r="164" spans="1:25" x14ac:dyDescent="0.3">
      <c r="A164" s="33">
        <v>50</v>
      </c>
      <c r="B164" s="33">
        <v>30</v>
      </c>
      <c r="C164" s="33">
        <v>4</v>
      </c>
      <c r="D164" s="34" t="str">
        <f t="shared" si="571"/>
        <v>50304</v>
      </c>
      <c r="E164" s="33" t="s">
        <v>11</v>
      </c>
      <c r="F164" s="44" t="s">
        <v>79</v>
      </c>
      <c r="G164" s="55" t="s">
        <v>25</v>
      </c>
      <c r="H164" s="56">
        <f>SUM(H161:H162)</f>
        <v>1700</v>
      </c>
      <c r="I164" s="57">
        <f t="shared" ref="I164" si="572">SUM(I161:I162)</f>
        <v>1870.0000000000002</v>
      </c>
      <c r="J164" s="57">
        <f t="shared" ref="J164" si="573">SUM(J161:J162)</f>
        <v>1530</v>
      </c>
      <c r="K164" s="57">
        <f t="shared" ref="K164" si="574">SUM(K161:K162)</f>
        <v>115</v>
      </c>
      <c r="L164" s="57"/>
      <c r="M164" s="49" t="str">
        <f t="shared" si="547"/>
        <v/>
      </c>
      <c r="N164" s="57">
        <f>SUM(N161:N162)</f>
        <v>11.166666666666666</v>
      </c>
      <c r="O164" s="57">
        <f t="shared" ref="O164" si="575">SUM(O161:O162)</f>
        <v>13.958333333333332</v>
      </c>
      <c r="P164" s="57">
        <f t="shared" ref="P164:Q164" si="576">SUM(P161:P162)</f>
        <v>15.633333333333333</v>
      </c>
      <c r="Q164" s="57">
        <f t="shared" si="576"/>
        <v>8.5416666666666661</v>
      </c>
      <c r="R164" s="64">
        <f>SUM(R161:R163)</f>
        <v>1700</v>
      </c>
      <c r="S164" s="64">
        <f>SUM(S161:S163)</f>
        <v>2125</v>
      </c>
      <c r="T164" s="65"/>
      <c r="U164" s="66">
        <f>SUM(U161:U163)</f>
        <v>1375</v>
      </c>
      <c r="V164" s="45">
        <f ca="1">VLOOKUP(F164,AGE!F:J,4,FALSE)</f>
        <v>2009</v>
      </c>
      <c r="W164" s="45">
        <f ca="1">VLOOKUP(F164,AGE!F:J,5,FALSE)</f>
        <v>2006</v>
      </c>
      <c r="Y164" s="33">
        <f t="shared" si="557"/>
        <v>0</v>
      </c>
    </row>
    <row r="165" spans="1:25" x14ac:dyDescent="0.3">
      <c r="A165" s="33">
        <v>50</v>
      </c>
      <c r="B165" s="33">
        <v>40</v>
      </c>
      <c r="C165" s="33">
        <v>1</v>
      </c>
      <c r="D165" s="34" t="str">
        <f t="shared" si="571"/>
        <v>50401</v>
      </c>
      <c r="E165" s="33" t="s">
        <v>11</v>
      </c>
      <c r="F165" s="44" t="s">
        <v>17</v>
      </c>
      <c r="G165" s="70" t="s">
        <v>8</v>
      </c>
      <c r="H165" s="36">
        <v>300</v>
      </c>
      <c r="I165" s="47">
        <f>H165*1.1</f>
        <v>330</v>
      </c>
      <c r="J165" s="47">
        <f>H165*0.9</f>
        <v>270</v>
      </c>
      <c r="K165" s="47">
        <f>60+50</f>
        <v>110</v>
      </c>
      <c r="L165" s="48" t="s">
        <v>31</v>
      </c>
      <c r="M165" s="49">
        <f t="shared" si="547"/>
        <v>1.8333333333333333E-2</v>
      </c>
      <c r="N165" s="50">
        <f>H165*M165</f>
        <v>5.5</v>
      </c>
      <c r="O165" s="50">
        <f>N165*1.25</f>
        <v>6.875</v>
      </c>
      <c r="P165" s="51">
        <f>N165*1.4</f>
        <v>7.6999999999999993</v>
      </c>
      <c r="Q165" s="50">
        <f>O161</f>
        <v>4.583333333333333</v>
      </c>
      <c r="R165" s="52">
        <f>N165/M165</f>
        <v>300</v>
      </c>
      <c r="S165" s="52">
        <f>O165/M165</f>
        <v>375</v>
      </c>
      <c r="T165" s="52">
        <f>P165/M165</f>
        <v>419.99999999999994</v>
      </c>
      <c r="U165" s="67">
        <f>S161</f>
        <v>249.99999999999997</v>
      </c>
      <c r="V165" s="45">
        <f ca="1">VLOOKUP(F165,AGE!F:J,4,FALSE)</f>
        <v>2007</v>
      </c>
      <c r="W165" s="45">
        <f ca="1">VLOOKUP(F165,AGE!F:J,5,FALSE)</f>
        <v>2000</v>
      </c>
      <c r="Y165" s="33">
        <f t="shared" si="557"/>
        <v>0</v>
      </c>
    </row>
    <row r="166" spans="1:25" x14ac:dyDescent="0.3">
      <c r="A166" s="33">
        <v>50</v>
      </c>
      <c r="B166" s="33">
        <v>40</v>
      </c>
      <c r="C166" s="33">
        <v>2</v>
      </c>
      <c r="D166" s="34" t="str">
        <f t="shared" si="571"/>
        <v>50402</v>
      </c>
      <c r="E166" s="33" t="s">
        <v>11</v>
      </c>
      <c r="F166" s="44" t="s">
        <v>17</v>
      </c>
      <c r="G166" s="70" t="s">
        <v>10</v>
      </c>
      <c r="H166" s="36">
        <v>2000</v>
      </c>
      <c r="I166" s="47">
        <f t="shared" ref="I166" si="577">H166*1.1</f>
        <v>2200</v>
      </c>
      <c r="J166" s="47">
        <f t="shared" ref="J166" si="578">H166*0.9</f>
        <v>1800</v>
      </c>
      <c r="K166" s="68">
        <v>5</v>
      </c>
      <c r="L166" s="48" t="s">
        <v>32</v>
      </c>
      <c r="M166" s="49">
        <f t="shared" si="547"/>
        <v>5.0000000000000001E-3</v>
      </c>
      <c r="N166" s="50">
        <f t="shared" ref="N166" si="579">H166*M166</f>
        <v>10</v>
      </c>
      <c r="O166" s="50">
        <f t="shared" ref="O166" si="580">N166*1.25</f>
        <v>12.5</v>
      </c>
      <c r="P166" s="51">
        <f t="shared" ref="P166" si="581">N166*1.4</f>
        <v>14</v>
      </c>
      <c r="Q166" s="50">
        <f>O162</f>
        <v>9.375</v>
      </c>
      <c r="R166" s="52">
        <f t="shared" ref="R166" si="582">N166/M166</f>
        <v>2000</v>
      </c>
      <c r="S166" s="52">
        <f t="shared" ref="S166" si="583">O166/M166</f>
        <v>2500</v>
      </c>
      <c r="T166" s="52">
        <f t="shared" ref="T166" si="584">P166/M166</f>
        <v>2800</v>
      </c>
      <c r="U166" s="67">
        <f>S162</f>
        <v>1875</v>
      </c>
      <c r="V166" s="45">
        <f ca="1">VLOOKUP(F166,AGE!F:J,4,FALSE)</f>
        <v>2007</v>
      </c>
      <c r="W166" s="45">
        <f ca="1">VLOOKUP(F166,AGE!F:J,5,FALSE)</f>
        <v>2000</v>
      </c>
      <c r="Y166" s="33">
        <f t="shared" si="557"/>
        <v>0</v>
      </c>
    </row>
    <row r="167" spans="1:25" x14ac:dyDescent="0.3">
      <c r="A167" s="33">
        <v>50</v>
      </c>
      <c r="B167" s="33">
        <v>40</v>
      </c>
      <c r="C167" s="33">
        <v>3</v>
      </c>
      <c r="D167" s="34" t="str">
        <f t="shared" si="571"/>
        <v>50403</v>
      </c>
      <c r="E167" s="33" t="s">
        <v>11</v>
      </c>
      <c r="F167" s="44" t="s">
        <v>17</v>
      </c>
      <c r="G167" s="70"/>
      <c r="I167" s="47"/>
      <c r="J167" s="47"/>
      <c r="K167" s="68"/>
      <c r="L167" s="48"/>
      <c r="M167" s="49"/>
      <c r="N167" s="50"/>
      <c r="O167" s="50"/>
      <c r="P167" s="51"/>
      <c r="Q167" s="50"/>
      <c r="R167" s="52"/>
      <c r="S167" s="52"/>
      <c r="T167" s="52"/>
      <c r="U167" s="67">
        <f>S163</f>
        <v>0</v>
      </c>
      <c r="V167" s="45">
        <f ca="1">VLOOKUP(F167,AGE!F:J,4,FALSE)</f>
        <v>2007</v>
      </c>
      <c r="W167" s="45">
        <f ca="1">VLOOKUP(F167,AGE!F:J,5,FALSE)</f>
        <v>2000</v>
      </c>
      <c r="Y167" s="33">
        <f t="shared" si="557"/>
        <v>0</v>
      </c>
    </row>
    <row r="168" spans="1:25" x14ac:dyDescent="0.3">
      <c r="A168" s="33">
        <v>50</v>
      </c>
      <c r="B168" s="33">
        <v>40</v>
      </c>
      <c r="C168" s="33">
        <v>4</v>
      </c>
      <c r="D168" s="34" t="str">
        <f t="shared" si="571"/>
        <v>50404</v>
      </c>
      <c r="E168" s="33" t="s">
        <v>11</v>
      </c>
      <c r="F168" s="44" t="s">
        <v>17</v>
      </c>
      <c r="G168" s="55" t="s">
        <v>25</v>
      </c>
      <c r="H168" s="56">
        <f>SUM(H165:H166)</f>
        <v>2300</v>
      </c>
      <c r="I168" s="57">
        <f t="shared" ref="I168" si="585">SUM(I165:I166)</f>
        <v>2530</v>
      </c>
      <c r="J168" s="57">
        <f t="shared" ref="J168" si="586">SUM(J165:J166)</f>
        <v>2070</v>
      </c>
      <c r="K168" s="57">
        <f t="shared" ref="K168" si="587">SUM(K165:K166)</f>
        <v>115</v>
      </c>
      <c r="L168" s="57"/>
      <c r="M168" s="49" t="str">
        <f t="shared" si="547"/>
        <v/>
      </c>
      <c r="N168" s="57">
        <f>SUM(N165:N166)</f>
        <v>15.5</v>
      </c>
      <c r="O168" s="57">
        <f t="shared" ref="O168" si="588">SUM(O165:O166)</f>
        <v>19.375</v>
      </c>
      <c r="P168" s="57">
        <f t="shared" ref="P168:Q168" si="589">SUM(P165:P166)</f>
        <v>21.7</v>
      </c>
      <c r="Q168" s="57">
        <f t="shared" si="589"/>
        <v>13.958333333333332</v>
      </c>
      <c r="R168" s="64">
        <f>SUM(R165:R167)</f>
        <v>2300</v>
      </c>
      <c r="S168" s="64">
        <f>SUM(S165:S167)</f>
        <v>2875</v>
      </c>
      <c r="T168" s="65"/>
      <c r="U168" s="66">
        <f>SUM(U165:U167)</f>
        <v>2125</v>
      </c>
      <c r="V168" s="45">
        <f ca="1">VLOOKUP(F168,AGE!F:J,4,FALSE)</f>
        <v>2007</v>
      </c>
      <c r="W168" s="45">
        <f ca="1">VLOOKUP(F168,AGE!F:J,5,FALSE)</f>
        <v>2000</v>
      </c>
      <c r="Y168" s="33">
        <f t="shared" si="557"/>
        <v>0</v>
      </c>
    </row>
    <row r="169" spans="1:25" x14ac:dyDescent="0.3">
      <c r="A169" s="33">
        <v>50</v>
      </c>
      <c r="B169" s="33">
        <v>50</v>
      </c>
      <c r="C169" s="33">
        <v>1</v>
      </c>
      <c r="D169" s="34" t="str">
        <f t="shared" si="571"/>
        <v>50501</v>
      </c>
      <c r="E169" s="33" t="s">
        <v>11</v>
      </c>
      <c r="F169" s="44" t="s">
        <v>18</v>
      </c>
      <c r="G169" s="70" t="s">
        <v>8</v>
      </c>
      <c r="H169" s="36">
        <v>500</v>
      </c>
      <c r="I169" s="47">
        <f>H169*1.1</f>
        <v>550</v>
      </c>
      <c r="J169" s="47">
        <f>H169*0.9</f>
        <v>450</v>
      </c>
      <c r="K169" s="47">
        <v>105</v>
      </c>
      <c r="L169" s="48" t="s">
        <v>31</v>
      </c>
      <c r="M169" s="49">
        <f t="shared" si="547"/>
        <v>1.7500000000000002E-2</v>
      </c>
      <c r="N169" s="50">
        <f>H169*M169</f>
        <v>8.75</v>
      </c>
      <c r="O169" s="50">
        <f>N169*1.25</f>
        <v>10.9375</v>
      </c>
      <c r="P169" s="51">
        <f>N169*1.4</f>
        <v>12.25</v>
      </c>
      <c r="Q169" s="50">
        <f>O165</f>
        <v>6.875</v>
      </c>
      <c r="R169" s="52">
        <f>N169/M169</f>
        <v>499.99999999999994</v>
      </c>
      <c r="S169" s="52">
        <f>O169/M169</f>
        <v>624.99999999999989</v>
      </c>
      <c r="T169" s="52">
        <f>P169/M169</f>
        <v>699.99999999999989</v>
      </c>
      <c r="U169" s="67">
        <f>(N169*0.5)/M169</f>
        <v>249.99999999999997</v>
      </c>
      <c r="V169" s="45">
        <f ca="1">VLOOKUP(F169,AGE!F:J,4,FALSE)</f>
        <v>2007</v>
      </c>
      <c r="W169" s="45">
        <f ca="1">VLOOKUP(F169,AGE!F:J,5,FALSE)</f>
        <v>1920</v>
      </c>
      <c r="Y169" s="33">
        <f t="shared" si="557"/>
        <v>0</v>
      </c>
    </row>
    <row r="170" spans="1:25" x14ac:dyDescent="0.3">
      <c r="A170" s="33">
        <v>50</v>
      </c>
      <c r="B170" s="33">
        <v>50</v>
      </c>
      <c r="C170" s="33">
        <v>2</v>
      </c>
      <c r="D170" s="34" t="str">
        <f t="shared" si="571"/>
        <v>50502</v>
      </c>
      <c r="E170" s="33" t="s">
        <v>11</v>
      </c>
      <c r="F170" s="44" t="s">
        <v>18</v>
      </c>
      <c r="G170" s="70" t="s">
        <v>10</v>
      </c>
      <c r="H170" s="36">
        <v>2500</v>
      </c>
      <c r="I170" s="47">
        <f t="shared" ref="I170" si="590">H170*1.1</f>
        <v>2750</v>
      </c>
      <c r="J170" s="47">
        <f t="shared" ref="J170" si="591">H170*0.9</f>
        <v>2250</v>
      </c>
      <c r="K170" s="68">
        <v>4.5</v>
      </c>
      <c r="L170" s="48" t="s">
        <v>32</v>
      </c>
      <c r="M170" s="49">
        <f t="shared" si="547"/>
        <v>4.4999999999999997E-3</v>
      </c>
      <c r="N170" s="50">
        <f t="shared" ref="N170" si="592">H170*M170</f>
        <v>11.25</v>
      </c>
      <c r="O170" s="50">
        <f t="shared" ref="O170" si="593">N170*1.25</f>
        <v>14.0625</v>
      </c>
      <c r="P170" s="51">
        <f t="shared" ref="P170" si="594">N170*1.4</f>
        <v>15.749999999999998</v>
      </c>
      <c r="Q170" s="50">
        <f>O166</f>
        <v>12.5</v>
      </c>
      <c r="R170" s="52">
        <f t="shared" ref="R170" si="595">N170/M170</f>
        <v>2500</v>
      </c>
      <c r="S170" s="52">
        <f t="shared" ref="S170" si="596">O170/M170</f>
        <v>3125.0000000000005</v>
      </c>
      <c r="T170" s="52">
        <f t="shared" ref="T170" si="597">P170/M170</f>
        <v>3500</v>
      </c>
      <c r="U170" s="67">
        <f t="shared" ref="U170" si="598">(N170*0.5)/M170</f>
        <v>1250</v>
      </c>
      <c r="V170" s="45">
        <f ca="1">VLOOKUP(F170,AGE!F:J,4,FALSE)</f>
        <v>2007</v>
      </c>
      <c r="W170" s="45">
        <f ca="1">VLOOKUP(F170,AGE!F:J,5,FALSE)</f>
        <v>1920</v>
      </c>
      <c r="Y170" s="33">
        <f t="shared" si="557"/>
        <v>0</v>
      </c>
    </row>
    <row r="171" spans="1:25" x14ac:dyDescent="0.3">
      <c r="A171" s="33">
        <v>50</v>
      </c>
      <c r="B171" s="33">
        <v>50</v>
      </c>
      <c r="C171" s="33">
        <v>3</v>
      </c>
      <c r="D171" s="34" t="str">
        <f t="shared" si="571"/>
        <v>50503</v>
      </c>
      <c r="E171" s="33" t="s">
        <v>11</v>
      </c>
      <c r="F171" s="44" t="s">
        <v>18</v>
      </c>
      <c r="G171" s="70"/>
      <c r="I171" s="47"/>
      <c r="J171" s="47"/>
      <c r="K171" s="68"/>
      <c r="L171" s="48"/>
      <c r="M171" s="49"/>
      <c r="N171" s="50"/>
      <c r="O171" s="50"/>
      <c r="P171" s="51"/>
      <c r="Q171" s="50"/>
      <c r="R171" s="52"/>
      <c r="S171" s="52"/>
      <c r="T171" s="52"/>
      <c r="U171" s="67"/>
      <c r="V171" s="45">
        <f ca="1">VLOOKUP(F171,AGE!F:J,4,FALSE)</f>
        <v>2007</v>
      </c>
      <c r="W171" s="45">
        <f ca="1">VLOOKUP(F171,AGE!F:J,5,FALSE)</f>
        <v>1920</v>
      </c>
      <c r="Y171" s="33">
        <f t="shared" si="557"/>
        <v>0</v>
      </c>
    </row>
    <row r="172" spans="1:25" x14ac:dyDescent="0.3">
      <c r="A172" s="33">
        <v>50</v>
      </c>
      <c r="B172" s="33">
        <v>50</v>
      </c>
      <c r="C172" s="33">
        <v>4</v>
      </c>
      <c r="D172" s="34" t="str">
        <f t="shared" si="571"/>
        <v>50504</v>
      </c>
      <c r="E172" s="33" t="s">
        <v>11</v>
      </c>
      <c r="F172" s="44" t="s">
        <v>18</v>
      </c>
      <c r="G172" s="55" t="s">
        <v>25</v>
      </c>
      <c r="H172" s="56">
        <f>SUM(H169:H170)</f>
        <v>3000</v>
      </c>
      <c r="I172" s="57">
        <f t="shared" ref="I172" si="599">SUM(I169:I170)</f>
        <v>3300</v>
      </c>
      <c r="J172" s="57">
        <f t="shared" ref="J172" si="600">SUM(J169:J170)</f>
        <v>2700</v>
      </c>
      <c r="K172" s="57">
        <f t="shared" ref="K172" si="601">SUM(K169:K170)</f>
        <v>109.5</v>
      </c>
      <c r="L172" s="57"/>
      <c r="M172" s="49" t="str">
        <f t="shared" si="547"/>
        <v/>
      </c>
      <c r="N172" s="57">
        <f>SUM(N169:N170)</f>
        <v>20</v>
      </c>
      <c r="O172" s="57">
        <f t="shared" ref="O172" si="602">SUM(O169:O170)</f>
        <v>25</v>
      </c>
      <c r="P172" s="57"/>
      <c r="Q172" s="57">
        <f t="shared" ref="Q172" si="603">SUM(Q169:Q170)</f>
        <v>19.375</v>
      </c>
      <c r="R172" s="64">
        <f>SUM(R169:R171)</f>
        <v>3000</v>
      </c>
      <c r="S172" s="64">
        <f>SUM(S169:S171)</f>
        <v>3750.0000000000005</v>
      </c>
      <c r="T172" s="65"/>
      <c r="U172" s="66">
        <f>SUM(U169:U171)</f>
        <v>1500</v>
      </c>
      <c r="V172" s="45">
        <f ca="1">VLOOKUP(F172,AGE!F:J,4,FALSE)</f>
        <v>2007</v>
      </c>
      <c r="W172" s="45">
        <f ca="1">VLOOKUP(F172,AGE!F:J,5,FALSE)</f>
        <v>1920</v>
      </c>
      <c r="Y172" s="33">
        <f t="shared" si="557"/>
        <v>0</v>
      </c>
    </row>
    <row r="173" spans="1:25" x14ac:dyDescent="0.3">
      <c r="A173" s="33">
        <v>50</v>
      </c>
      <c r="B173" s="33">
        <v>60</v>
      </c>
      <c r="C173" s="33">
        <v>1</v>
      </c>
      <c r="D173" s="34" t="str">
        <f t="shared" si="571"/>
        <v>50601</v>
      </c>
      <c r="E173" s="33" t="s">
        <v>11</v>
      </c>
      <c r="F173" s="44" t="s">
        <v>19</v>
      </c>
      <c r="G173" s="70" t="s">
        <v>8</v>
      </c>
      <c r="H173" s="36">
        <v>1000</v>
      </c>
      <c r="I173" s="47">
        <f>H173*1.1</f>
        <v>1100</v>
      </c>
      <c r="J173" s="47">
        <f>H173*0.9</f>
        <v>900</v>
      </c>
      <c r="K173" s="47">
        <v>105</v>
      </c>
      <c r="L173" s="48" t="s">
        <v>31</v>
      </c>
      <c r="M173" s="49">
        <f t="shared" ref="M173:M188" si="604">IF(L173="Sec/100m",((K173)/60/100),(IF(L173="Km/h",60/K173/1000,(IF(L173="Min/km",K173/1000,"")))))</f>
        <v>1.7500000000000002E-2</v>
      </c>
      <c r="N173" s="50">
        <f>H173*M173</f>
        <v>17.5</v>
      </c>
      <c r="O173" s="50">
        <f>N173*1.25</f>
        <v>21.875</v>
      </c>
      <c r="P173" s="51">
        <f>N173*1.4</f>
        <v>24.5</v>
      </c>
      <c r="Q173" s="50">
        <f>O169</f>
        <v>10.9375</v>
      </c>
      <c r="R173" s="52">
        <f>N173/M173</f>
        <v>999.99999999999989</v>
      </c>
      <c r="S173" s="52">
        <f>O173/M173</f>
        <v>1249.9999999999998</v>
      </c>
      <c r="T173" s="52">
        <f>P173/M173</f>
        <v>1399.9999999999998</v>
      </c>
      <c r="U173" s="67">
        <f>S169</f>
        <v>624.99999999999989</v>
      </c>
      <c r="V173" s="45">
        <f ca="1">VLOOKUP(F173,AGE!F:J,4,FALSE)</f>
        <v>2003</v>
      </c>
      <c r="W173" s="45">
        <f ca="1">VLOOKUP(F173,AGE!F:J,5,FALSE)</f>
        <v>1920</v>
      </c>
      <c r="Y173" s="33">
        <f t="shared" si="557"/>
        <v>0</v>
      </c>
    </row>
    <row r="174" spans="1:25" x14ac:dyDescent="0.3">
      <c r="A174" s="33">
        <v>50</v>
      </c>
      <c r="B174" s="33">
        <v>60</v>
      </c>
      <c r="C174" s="33">
        <v>2</v>
      </c>
      <c r="D174" s="34" t="str">
        <f t="shared" si="571"/>
        <v>50602</v>
      </c>
      <c r="E174" s="33" t="s">
        <v>11</v>
      </c>
      <c r="F174" s="44" t="s">
        <v>19</v>
      </c>
      <c r="G174" s="70" t="s">
        <v>10</v>
      </c>
      <c r="H174" s="36">
        <v>5000</v>
      </c>
      <c r="I174" s="47">
        <f t="shared" ref="I174" si="605">H174*1.1</f>
        <v>5500</v>
      </c>
      <c r="J174" s="47">
        <f t="shared" ref="J174" si="606">H174*0.9</f>
        <v>4500</v>
      </c>
      <c r="K174" s="68">
        <v>4.5</v>
      </c>
      <c r="L174" s="48" t="s">
        <v>32</v>
      </c>
      <c r="M174" s="49">
        <f t="shared" si="604"/>
        <v>4.4999999999999997E-3</v>
      </c>
      <c r="N174" s="50">
        <f t="shared" ref="N174" si="607">H174*M174</f>
        <v>22.5</v>
      </c>
      <c r="O174" s="50">
        <f t="shared" ref="O174" si="608">N174*1.25</f>
        <v>28.125</v>
      </c>
      <c r="P174" s="51">
        <f t="shared" ref="P174" si="609">N174*1.4</f>
        <v>31.499999999999996</v>
      </c>
      <c r="Q174" s="50">
        <f>O170</f>
        <v>14.0625</v>
      </c>
      <c r="R174" s="52">
        <f t="shared" ref="R174" si="610">N174/M174</f>
        <v>5000</v>
      </c>
      <c r="S174" s="52">
        <f t="shared" ref="S174" si="611">O174/M174</f>
        <v>6250.0000000000009</v>
      </c>
      <c r="T174" s="52">
        <f t="shared" ref="T174" si="612">P174/M174</f>
        <v>7000</v>
      </c>
      <c r="U174" s="67">
        <f>S170</f>
        <v>3125.0000000000005</v>
      </c>
      <c r="V174" s="45">
        <f ca="1">VLOOKUP(F174,AGE!F:J,4,FALSE)</f>
        <v>2003</v>
      </c>
      <c r="W174" s="45">
        <f ca="1">VLOOKUP(F174,AGE!F:J,5,FALSE)</f>
        <v>1920</v>
      </c>
      <c r="Y174" s="33">
        <f t="shared" si="557"/>
        <v>0</v>
      </c>
    </row>
    <row r="175" spans="1:25" x14ac:dyDescent="0.3">
      <c r="A175" s="33">
        <v>50</v>
      </c>
      <c r="B175" s="33">
        <v>60</v>
      </c>
      <c r="C175" s="33">
        <v>3</v>
      </c>
      <c r="D175" s="34" t="str">
        <f t="shared" si="571"/>
        <v>50603</v>
      </c>
      <c r="E175" s="33" t="s">
        <v>11</v>
      </c>
      <c r="F175" s="44" t="s">
        <v>19</v>
      </c>
      <c r="G175" s="70"/>
      <c r="I175" s="47"/>
      <c r="J175" s="47"/>
      <c r="K175" s="68"/>
      <c r="L175" s="48"/>
      <c r="M175" s="49"/>
      <c r="N175" s="50"/>
      <c r="O175" s="50"/>
      <c r="P175" s="51"/>
      <c r="Q175" s="50"/>
      <c r="R175" s="52"/>
      <c r="S175" s="52"/>
      <c r="T175" s="52"/>
      <c r="U175" s="67">
        <f>S171</f>
        <v>0</v>
      </c>
      <c r="V175" s="45">
        <f ca="1">VLOOKUP(F175,AGE!F:J,4,FALSE)</f>
        <v>2003</v>
      </c>
      <c r="W175" s="45">
        <f ca="1">VLOOKUP(F175,AGE!F:J,5,FALSE)</f>
        <v>1920</v>
      </c>
      <c r="Y175" s="33">
        <f t="shared" si="557"/>
        <v>0</v>
      </c>
    </row>
    <row r="176" spans="1:25" x14ac:dyDescent="0.3">
      <c r="A176" s="33">
        <v>50</v>
      </c>
      <c r="B176" s="33">
        <v>60</v>
      </c>
      <c r="C176" s="33">
        <v>4</v>
      </c>
      <c r="D176" s="34" t="str">
        <f t="shared" si="571"/>
        <v>50604</v>
      </c>
      <c r="E176" s="33" t="s">
        <v>11</v>
      </c>
      <c r="F176" s="44" t="s">
        <v>19</v>
      </c>
      <c r="G176" s="55" t="s">
        <v>25</v>
      </c>
      <c r="H176" s="56">
        <f>SUM(H173:H174)</f>
        <v>6000</v>
      </c>
      <c r="I176" s="57">
        <f t="shared" ref="I176" si="613">SUM(I173:I174)</f>
        <v>6600</v>
      </c>
      <c r="J176" s="57">
        <f t="shared" ref="J176" si="614">SUM(J173:J174)</f>
        <v>5400</v>
      </c>
      <c r="K176" s="57">
        <f t="shared" ref="K176" si="615">SUM(K173:K174)</f>
        <v>109.5</v>
      </c>
      <c r="L176" s="57"/>
      <c r="M176" s="49" t="str">
        <f t="shared" si="604"/>
        <v/>
      </c>
      <c r="N176" s="57">
        <f>SUM(N173:N174)</f>
        <v>40</v>
      </c>
      <c r="O176" s="57">
        <f t="shared" ref="O176" si="616">SUM(O173:O174)</f>
        <v>50</v>
      </c>
      <c r="P176" s="57"/>
      <c r="Q176" s="57">
        <f t="shared" ref="Q176" si="617">SUM(Q173:Q174)</f>
        <v>25</v>
      </c>
      <c r="R176" s="64">
        <f>SUM(R173:R175)</f>
        <v>6000</v>
      </c>
      <c r="S176" s="64">
        <f>SUM(S173:S175)</f>
        <v>7500.0000000000009</v>
      </c>
      <c r="T176" s="65"/>
      <c r="U176" s="66">
        <f>SUM(U173:U175)</f>
        <v>3750.0000000000005</v>
      </c>
      <c r="V176" s="45">
        <f ca="1">VLOOKUP(F176,AGE!F:J,4,FALSE)</f>
        <v>2003</v>
      </c>
      <c r="W176" s="45">
        <f ca="1">VLOOKUP(F176,AGE!F:J,5,FALSE)</f>
        <v>1920</v>
      </c>
      <c r="Y176" s="33">
        <f t="shared" si="557"/>
        <v>0</v>
      </c>
    </row>
    <row r="177" spans="1:25" x14ac:dyDescent="0.3">
      <c r="A177" s="33">
        <v>50</v>
      </c>
      <c r="B177" s="33">
        <v>70</v>
      </c>
      <c r="C177" s="33">
        <v>1</v>
      </c>
      <c r="D177" s="34" t="str">
        <f t="shared" si="571"/>
        <v>50701</v>
      </c>
      <c r="E177" s="33" t="s">
        <v>11</v>
      </c>
      <c r="F177" s="44" t="s">
        <v>20</v>
      </c>
      <c r="G177" s="70" t="s">
        <v>8</v>
      </c>
      <c r="H177" s="36">
        <v>2000</v>
      </c>
      <c r="I177" s="47">
        <f>H177*1.1</f>
        <v>2200</v>
      </c>
      <c r="J177" s="47">
        <f>H177*0.9</f>
        <v>1800</v>
      </c>
      <c r="K177" s="47">
        <v>105</v>
      </c>
      <c r="L177" s="48" t="s">
        <v>31</v>
      </c>
      <c r="M177" s="49">
        <f t="shared" si="604"/>
        <v>1.7500000000000002E-2</v>
      </c>
      <c r="N177" s="50">
        <f>H177*M177</f>
        <v>35</v>
      </c>
      <c r="O177" s="50">
        <f>N177*1.25</f>
        <v>43.75</v>
      </c>
      <c r="P177" s="51">
        <f>N177*1.4</f>
        <v>49</v>
      </c>
      <c r="Q177" s="50">
        <f>O173</f>
        <v>21.875</v>
      </c>
      <c r="R177" s="52">
        <f>N177/M177</f>
        <v>1999.9999999999998</v>
      </c>
      <c r="S177" s="52">
        <f>O177/M177</f>
        <v>2499.9999999999995</v>
      </c>
      <c r="T177" s="52">
        <f>P177/M177</f>
        <v>2799.9999999999995</v>
      </c>
      <c r="U177" s="67">
        <f>S173</f>
        <v>1249.9999999999998</v>
      </c>
      <c r="V177" s="45">
        <f ca="1">VLOOKUP(F177,AGE!F:J,4,FALSE)</f>
        <v>2001</v>
      </c>
      <c r="W177" s="45">
        <f ca="1">VLOOKUP(F177,AGE!F:J,5,FALSE)</f>
        <v>1920</v>
      </c>
      <c r="Y177" s="33">
        <f t="shared" si="557"/>
        <v>0</v>
      </c>
    </row>
    <row r="178" spans="1:25" x14ac:dyDescent="0.3">
      <c r="A178" s="33">
        <v>50</v>
      </c>
      <c r="B178" s="33">
        <v>70</v>
      </c>
      <c r="C178" s="33">
        <v>2</v>
      </c>
      <c r="D178" s="34" t="str">
        <f t="shared" si="571"/>
        <v>50702</v>
      </c>
      <c r="E178" s="33" t="s">
        <v>11</v>
      </c>
      <c r="F178" s="44" t="s">
        <v>20</v>
      </c>
      <c r="G178" s="70" t="s">
        <v>10</v>
      </c>
      <c r="H178" s="36">
        <v>10000</v>
      </c>
      <c r="I178" s="47">
        <f t="shared" ref="I178" si="618">H178*1.1</f>
        <v>11000</v>
      </c>
      <c r="J178" s="47">
        <f t="shared" ref="J178" si="619">H178*0.9</f>
        <v>9000</v>
      </c>
      <c r="K178" s="68">
        <v>4.5</v>
      </c>
      <c r="L178" s="48" t="s">
        <v>32</v>
      </c>
      <c r="M178" s="49">
        <f t="shared" si="604"/>
        <v>4.4999999999999997E-3</v>
      </c>
      <c r="N178" s="50">
        <f t="shared" ref="N178" si="620">H178*M178</f>
        <v>45</v>
      </c>
      <c r="O178" s="50">
        <f t="shared" ref="O178" si="621">N178*1.25</f>
        <v>56.25</v>
      </c>
      <c r="P178" s="51">
        <f t="shared" ref="P178" si="622">N178*1.4</f>
        <v>62.999999999999993</v>
      </c>
      <c r="Q178" s="50">
        <f>O174</f>
        <v>28.125</v>
      </c>
      <c r="R178" s="52">
        <f t="shared" ref="R178" si="623">N178/M178</f>
        <v>10000</v>
      </c>
      <c r="S178" s="52">
        <f t="shared" ref="S178" si="624">O178/M178</f>
        <v>12500.000000000002</v>
      </c>
      <c r="T178" s="52">
        <f t="shared" ref="T178" si="625">P178/M178</f>
        <v>14000</v>
      </c>
      <c r="U178" s="67">
        <f>S174</f>
        <v>6250.0000000000009</v>
      </c>
      <c r="V178" s="45">
        <f ca="1">VLOOKUP(F178,AGE!F:J,4,FALSE)</f>
        <v>2001</v>
      </c>
      <c r="W178" s="45">
        <f ca="1">VLOOKUP(F178,AGE!F:J,5,FALSE)</f>
        <v>1920</v>
      </c>
      <c r="Y178" s="33">
        <f t="shared" si="557"/>
        <v>0</v>
      </c>
    </row>
    <row r="179" spans="1:25" x14ac:dyDescent="0.3">
      <c r="A179" s="33">
        <v>50</v>
      </c>
      <c r="B179" s="33">
        <v>70</v>
      </c>
      <c r="C179" s="33">
        <v>3</v>
      </c>
      <c r="D179" s="34" t="str">
        <f t="shared" si="571"/>
        <v>50703</v>
      </c>
      <c r="E179" s="33" t="s">
        <v>11</v>
      </c>
      <c r="F179" s="44" t="s">
        <v>20</v>
      </c>
      <c r="G179" s="70"/>
      <c r="I179" s="47"/>
      <c r="J179" s="47"/>
      <c r="K179" s="68"/>
      <c r="L179" s="48"/>
      <c r="M179" s="49"/>
      <c r="N179" s="50"/>
      <c r="O179" s="50"/>
      <c r="P179" s="51"/>
      <c r="Q179" s="50"/>
      <c r="R179" s="52"/>
      <c r="S179" s="52"/>
      <c r="T179" s="52"/>
      <c r="U179" s="67">
        <f>S175</f>
        <v>0</v>
      </c>
      <c r="V179" s="45">
        <f ca="1">VLOOKUP(F179,AGE!F:J,4,FALSE)</f>
        <v>2001</v>
      </c>
      <c r="W179" s="45">
        <f ca="1">VLOOKUP(F179,AGE!F:J,5,FALSE)</f>
        <v>1920</v>
      </c>
      <c r="Y179" s="33">
        <f t="shared" si="557"/>
        <v>0</v>
      </c>
    </row>
    <row r="180" spans="1:25" x14ac:dyDescent="0.3">
      <c r="A180" s="33">
        <v>50</v>
      </c>
      <c r="B180" s="33">
        <v>70</v>
      </c>
      <c r="C180" s="33">
        <v>4</v>
      </c>
      <c r="D180" s="34" t="str">
        <f t="shared" si="467"/>
        <v>50704</v>
      </c>
      <c r="E180" s="33" t="s">
        <v>11</v>
      </c>
      <c r="F180" s="44" t="s">
        <v>20</v>
      </c>
      <c r="G180" s="55" t="s">
        <v>25</v>
      </c>
      <c r="H180" s="56">
        <f>SUM(H177:H178)</f>
        <v>12000</v>
      </c>
      <c r="I180" s="57">
        <f t="shared" ref="I180" si="626">SUM(I177:I178)</f>
        <v>13200</v>
      </c>
      <c r="J180" s="57">
        <f t="shared" ref="J180" si="627">SUM(J177:J178)</f>
        <v>10800</v>
      </c>
      <c r="K180" s="57">
        <f t="shared" ref="K180" si="628">SUM(K177:K178)</f>
        <v>109.5</v>
      </c>
      <c r="L180" s="57"/>
      <c r="M180" s="49" t="str">
        <f t="shared" si="604"/>
        <v/>
      </c>
      <c r="N180" s="57">
        <f>SUM(N177:N178)</f>
        <v>80</v>
      </c>
      <c r="O180" s="57">
        <f t="shared" ref="O180" si="629">SUM(O177:O178)</f>
        <v>100</v>
      </c>
      <c r="P180" s="57"/>
      <c r="Q180" s="57">
        <f t="shared" ref="Q180" si="630">SUM(Q177:Q178)</f>
        <v>50</v>
      </c>
      <c r="R180" s="64">
        <f>SUM(R177:R179)</f>
        <v>12000</v>
      </c>
      <c r="S180" s="64">
        <f>SUM(S177:S179)</f>
        <v>15000.000000000002</v>
      </c>
      <c r="T180" s="65"/>
      <c r="U180" s="66">
        <f>SUM(U177:U179)</f>
        <v>7500.0000000000009</v>
      </c>
      <c r="V180" s="45">
        <f ca="1">VLOOKUP(F180,AGE!F:J,4,FALSE)</f>
        <v>2001</v>
      </c>
      <c r="W180" s="45">
        <f ca="1">VLOOKUP(F180,AGE!F:J,5,FALSE)</f>
        <v>1920</v>
      </c>
      <c r="Y180" s="33">
        <f t="shared" si="557"/>
        <v>0</v>
      </c>
    </row>
    <row r="181" spans="1:25" x14ac:dyDescent="0.3">
      <c r="A181" s="33">
        <v>50</v>
      </c>
      <c r="B181" s="33">
        <v>80</v>
      </c>
      <c r="C181" s="33">
        <v>1</v>
      </c>
      <c r="D181" s="34" t="str">
        <f t="shared" si="467"/>
        <v>50801</v>
      </c>
      <c r="E181" s="33" t="s">
        <v>11</v>
      </c>
      <c r="F181" s="44" t="s">
        <v>21</v>
      </c>
      <c r="G181" s="70" t="s">
        <v>8</v>
      </c>
      <c r="H181" s="36">
        <v>3000</v>
      </c>
      <c r="I181" s="47">
        <f>H181*1.1</f>
        <v>3300.0000000000005</v>
      </c>
      <c r="J181" s="47">
        <f>H181*0.9</f>
        <v>2700</v>
      </c>
      <c r="K181" s="47">
        <v>105</v>
      </c>
      <c r="L181" s="48" t="s">
        <v>31</v>
      </c>
      <c r="M181" s="49">
        <f t="shared" si="604"/>
        <v>1.7500000000000002E-2</v>
      </c>
      <c r="N181" s="50">
        <f>H181*M181</f>
        <v>52.500000000000007</v>
      </c>
      <c r="O181" s="50">
        <f>N181*1.25</f>
        <v>65.625000000000014</v>
      </c>
      <c r="P181" s="51"/>
      <c r="Q181" s="50">
        <f>O177</f>
        <v>43.75</v>
      </c>
      <c r="R181" s="52">
        <f>N181/M181</f>
        <v>3000</v>
      </c>
      <c r="S181" s="52">
        <f>O181/M181</f>
        <v>3750.0000000000005</v>
      </c>
      <c r="T181" s="52">
        <f>P181/M181</f>
        <v>0</v>
      </c>
      <c r="U181" s="67">
        <f>S177</f>
        <v>2499.9999999999995</v>
      </c>
      <c r="V181" s="45">
        <f ca="1">VLOOKUP(F181,AGE!F:J,4,FALSE)</f>
        <v>2001</v>
      </c>
      <c r="W181" s="45">
        <f ca="1">VLOOKUP(F181,AGE!F:J,5,FALSE)</f>
        <v>1920</v>
      </c>
      <c r="Y181" s="33">
        <f t="shared" si="557"/>
        <v>0</v>
      </c>
    </row>
    <row r="182" spans="1:25" x14ac:dyDescent="0.3">
      <c r="A182" s="33">
        <v>50</v>
      </c>
      <c r="B182" s="33">
        <v>80</v>
      </c>
      <c r="C182" s="33">
        <v>2</v>
      </c>
      <c r="D182" s="34" t="str">
        <f t="shared" si="467"/>
        <v>50802</v>
      </c>
      <c r="E182" s="33" t="s">
        <v>11</v>
      </c>
      <c r="F182" s="44" t="s">
        <v>21</v>
      </c>
      <c r="G182" s="70" t="s">
        <v>10</v>
      </c>
      <c r="H182" s="36">
        <v>15000</v>
      </c>
      <c r="I182" s="47">
        <f t="shared" ref="I182" si="631">H182*1.1</f>
        <v>16500</v>
      </c>
      <c r="J182" s="47">
        <f t="shared" ref="J182" si="632">H182*0.9</f>
        <v>13500</v>
      </c>
      <c r="K182" s="68">
        <v>4.5</v>
      </c>
      <c r="L182" s="48" t="s">
        <v>32</v>
      </c>
      <c r="M182" s="49">
        <f t="shared" si="604"/>
        <v>4.4999999999999997E-3</v>
      </c>
      <c r="N182" s="50">
        <f t="shared" ref="N182" si="633">H182*M182</f>
        <v>67.5</v>
      </c>
      <c r="O182" s="50">
        <f t="shared" ref="O182" si="634">N182*1.25</f>
        <v>84.375</v>
      </c>
      <c r="P182" s="51"/>
      <c r="Q182" s="50">
        <f>O178</f>
        <v>56.25</v>
      </c>
      <c r="R182" s="52">
        <f t="shared" ref="R182" si="635">N182/M182</f>
        <v>15000.000000000002</v>
      </c>
      <c r="S182" s="52">
        <f t="shared" ref="S182" si="636">O182/M182</f>
        <v>18750</v>
      </c>
      <c r="T182" s="52">
        <f t="shared" ref="T182" si="637">P182/M182</f>
        <v>0</v>
      </c>
      <c r="U182" s="67">
        <f>S178</f>
        <v>12500.000000000002</v>
      </c>
      <c r="V182" s="45">
        <f ca="1">VLOOKUP(F182,AGE!F:J,4,FALSE)</f>
        <v>2001</v>
      </c>
      <c r="W182" s="45">
        <f ca="1">VLOOKUP(F182,AGE!F:J,5,FALSE)</f>
        <v>1920</v>
      </c>
      <c r="Y182" s="33">
        <f t="shared" si="557"/>
        <v>0</v>
      </c>
    </row>
    <row r="183" spans="1:25" x14ac:dyDescent="0.3">
      <c r="A183" s="33">
        <v>50</v>
      </c>
      <c r="B183" s="33">
        <v>80</v>
      </c>
      <c r="C183" s="33">
        <v>3</v>
      </c>
      <c r="D183" s="34" t="str">
        <f t="shared" ref="D183:D187" si="638">CONCATENATE(A183,B183,C183)</f>
        <v>50803</v>
      </c>
      <c r="E183" s="33" t="s">
        <v>11</v>
      </c>
      <c r="F183" s="44" t="s">
        <v>21</v>
      </c>
      <c r="G183" s="70"/>
      <c r="I183" s="47"/>
      <c r="J183" s="47"/>
      <c r="K183" s="68"/>
      <c r="L183" s="48"/>
      <c r="M183" s="49"/>
      <c r="N183" s="50"/>
      <c r="O183" s="50"/>
      <c r="P183" s="51"/>
      <c r="Q183" s="50"/>
      <c r="R183" s="52"/>
      <c r="S183" s="52"/>
      <c r="T183" s="52"/>
      <c r="U183" s="67">
        <f>S179</f>
        <v>0</v>
      </c>
      <c r="V183" s="45">
        <f ca="1">VLOOKUP(F183,AGE!F:J,4,FALSE)</f>
        <v>2001</v>
      </c>
      <c r="W183" s="45">
        <f ca="1">VLOOKUP(F183,AGE!F:J,5,FALSE)</f>
        <v>1920</v>
      </c>
      <c r="Y183" s="33">
        <f t="shared" si="557"/>
        <v>0</v>
      </c>
    </row>
    <row r="184" spans="1:25" x14ac:dyDescent="0.3">
      <c r="A184" s="33">
        <v>50</v>
      </c>
      <c r="B184" s="33">
        <v>80</v>
      </c>
      <c r="C184" s="33">
        <v>4</v>
      </c>
      <c r="D184" s="34" t="str">
        <f t="shared" si="638"/>
        <v>50804</v>
      </c>
      <c r="E184" s="33" t="s">
        <v>11</v>
      </c>
      <c r="F184" s="44" t="s">
        <v>21</v>
      </c>
      <c r="G184" s="55" t="s">
        <v>25</v>
      </c>
      <c r="H184" s="56">
        <f>SUM(H181:H182)</f>
        <v>18000</v>
      </c>
      <c r="I184" s="57">
        <f t="shared" ref="I184" si="639">SUM(I181:I182)</f>
        <v>19800</v>
      </c>
      <c r="J184" s="57">
        <f t="shared" ref="J184" si="640">SUM(J181:J182)</f>
        <v>16200</v>
      </c>
      <c r="K184" s="57">
        <f t="shared" ref="K184" si="641">SUM(K181:K182)</f>
        <v>109.5</v>
      </c>
      <c r="L184" s="57"/>
      <c r="M184" s="49" t="str">
        <f t="shared" si="604"/>
        <v/>
      </c>
      <c r="N184" s="57">
        <f>SUM(N181:N182)</f>
        <v>120</v>
      </c>
      <c r="O184" s="57">
        <f t="shared" ref="O184" si="642">SUM(O181:O182)</f>
        <v>150</v>
      </c>
      <c r="P184" s="57"/>
      <c r="Q184" s="57">
        <f t="shared" ref="Q184" si="643">SUM(Q181:Q182)</f>
        <v>100</v>
      </c>
      <c r="R184" s="64">
        <f>SUM(R181:R183)</f>
        <v>18000</v>
      </c>
      <c r="S184" s="64">
        <f>SUM(S181:S183)</f>
        <v>22500</v>
      </c>
      <c r="T184" s="65"/>
      <c r="U184" s="66">
        <f>SUM(U181:U183)</f>
        <v>15000.000000000002</v>
      </c>
      <c r="V184" s="45">
        <f ca="1">VLOOKUP(F184,AGE!F:J,4,FALSE)</f>
        <v>2001</v>
      </c>
      <c r="W184" s="45">
        <f ca="1">VLOOKUP(F184,AGE!F:J,5,FALSE)</f>
        <v>1920</v>
      </c>
      <c r="Y184" s="33">
        <f t="shared" si="557"/>
        <v>0</v>
      </c>
    </row>
    <row r="185" spans="1:25" x14ac:dyDescent="0.3">
      <c r="A185" s="33">
        <v>50</v>
      </c>
      <c r="B185" s="33">
        <v>90</v>
      </c>
      <c r="C185" s="33">
        <v>1</v>
      </c>
      <c r="D185" s="34" t="str">
        <f t="shared" si="638"/>
        <v>50901</v>
      </c>
      <c r="E185" s="33" t="s">
        <v>11</v>
      </c>
      <c r="F185" s="44" t="s">
        <v>22</v>
      </c>
      <c r="G185" s="70" t="s">
        <v>8</v>
      </c>
      <c r="H185" s="36">
        <v>4000</v>
      </c>
      <c r="I185" s="47">
        <f>H185*1.1</f>
        <v>4400</v>
      </c>
      <c r="J185" s="47">
        <f>H185*0.9</f>
        <v>3600</v>
      </c>
      <c r="K185" s="47">
        <v>105</v>
      </c>
      <c r="L185" s="48" t="s">
        <v>31</v>
      </c>
      <c r="M185" s="49">
        <f t="shared" si="604"/>
        <v>1.7500000000000002E-2</v>
      </c>
      <c r="N185" s="50">
        <f>H185*M185</f>
        <v>70</v>
      </c>
      <c r="O185" s="50">
        <f>N185*1.25</f>
        <v>87.5</v>
      </c>
      <c r="P185" s="51"/>
      <c r="Q185" s="50">
        <f>O181</f>
        <v>65.625000000000014</v>
      </c>
      <c r="R185" s="52">
        <f>N185/M185</f>
        <v>3999.9999999999995</v>
      </c>
      <c r="S185" s="52">
        <f>O185/M185</f>
        <v>4999.9999999999991</v>
      </c>
      <c r="T185" s="52">
        <f>P185/M185</f>
        <v>0</v>
      </c>
      <c r="U185" s="181">
        <f t="shared" ref="U185:U186" si="644">(N185*0.75)/M185</f>
        <v>2999.9999999999995</v>
      </c>
      <c r="V185" s="45">
        <f ca="1">VLOOKUP(F185,AGE!F:J,4,FALSE)</f>
        <v>2001</v>
      </c>
      <c r="W185" s="45">
        <f ca="1">VLOOKUP(F185,AGE!F:J,5,FALSE)</f>
        <v>1920</v>
      </c>
      <c r="Y185" s="33">
        <f t="shared" si="557"/>
        <v>0</v>
      </c>
    </row>
    <row r="186" spans="1:25" x14ac:dyDescent="0.3">
      <c r="A186" s="33">
        <v>50</v>
      </c>
      <c r="B186" s="33">
        <v>90</v>
      </c>
      <c r="C186" s="33">
        <v>2</v>
      </c>
      <c r="D186" s="34" t="str">
        <f t="shared" si="638"/>
        <v>50902</v>
      </c>
      <c r="E186" s="33" t="s">
        <v>11</v>
      </c>
      <c r="F186" s="44" t="s">
        <v>22</v>
      </c>
      <c r="G186" s="70" t="s">
        <v>10</v>
      </c>
      <c r="H186" s="36">
        <v>20000</v>
      </c>
      <c r="I186" s="47">
        <f t="shared" ref="I186" si="645">H186*1.1</f>
        <v>22000</v>
      </c>
      <c r="J186" s="47">
        <f t="shared" ref="J186" si="646">H186*0.9</f>
        <v>18000</v>
      </c>
      <c r="K186" s="68">
        <v>4.5</v>
      </c>
      <c r="L186" s="48" t="s">
        <v>32</v>
      </c>
      <c r="M186" s="49">
        <f t="shared" si="604"/>
        <v>4.4999999999999997E-3</v>
      </c>
      <c r="N186" s="50">
        <f t="shared" ref="N186" si="647">H186*M186</f>
        <v>90</v>
      </c>
      <c r="O186" s="50">
        <f t="shared" ref="O186" si="648">N186*1.25</f>
        <v>112.5</v>
      </c>
      <c r="P186" s="51"/>
      <c r="Q186" s="50">
        <f>O182</f>
        <v>84.375</v>
      </c>
      <c r="R186" s="52">
        <f t="shared" ref="R186" si="649">N186/M186</f>
        <v>20000</v>
      </c>
      <c r="S186" s="52">
        <f t="shared" ref="S186" si="650">O186/M186</f>
        <v>25000.000000000004</v>
      </c>
      <c r="T186" s="52">
        <f t="shared" ref="T186" si="651">P186/M186</f>
        <v>0</v>
      </c>
      <c r="U186" s="181">
        <f t="shared" si="644"/>
        <v>15000.000000000002</v>
      </c>
      <c r="V186" s="45">
        <f ca="1">VLOOKUP(F186,AGE!F:J,4,FALSE)</f>
        <v>2001</v>
      </c>
      <c r="W186" s="45">
        <f ca="1">VLOOKUP(F186,AGE!F:J,5,FALSE)</f>
        <v>1920</v>
      </c>
      <c r="Y186" s="33">
        <f t="shared" si="557"/>
        <v>0</v>
      </c>
    </row>
    <row r="187" spans="1:25" x14ac:dyDescent="0.3">
      <c r="A187" s="33">
        <v>50</v>
      </c>
      <c r="B187" s="33">
        <v>90</v>
      </c>
      <c r="C187" s="33">
        <v>3</v>
      </c>
      <c r="D187" s="34" t="str">
        <f t="shared" si="638"/>
        <v>50903</v>
      </c>
      <c r="E187" s="33" t="s">
        <v>11</v>
      </c>
      <c r="F187" s="44" t="s">
        <v>22</v>
      </c>
      <c r="G187" s="70"/>
      <c r="I187" s="47"/>
      <c r="J187" s="47"/>
      <c r="K187" s="68"/>
      <c r="L187" s="48"/>
      <c r="M187" s="49"/>
      <c r="N187" s="50"/>
      <c r="O187" s="50"/>
      <c r="P187" s="51"/>
      <c r="Q187" s="50"/>
      <c r="R187" s="52"/>
      <c r="S187" s="52"/>
      <c r="T187" s="52"/>
      <c r="U187" s="67">
        <f>S183</f>
        <v>0</v>
      </c>
      <c r="V187" s="45">
        <f ca="1">VLOOKUP(F187,AGE!F:J,4,FALSE)</f>
        <v>2001</v>
      </c>
      <c r="W187" s="45">
        <f ca="1">VLOOKUP(F187,AGE!F:J,5,FALSE)</f>
        <v>1920</v>
      </c>
      <c r="Y187" s="33">
        <f t="shared" si="557"/>
        <v>0</v>
      </c>
    </row>
    <row r="188" spans="1:25" x14ac:dyDescent="0.3">
      <c r="A188" s="33">
        <v>50</v>
      </c>
      <c r="B188" s="33">
        <v>90</v>
      </c>
      <c r="C188" s="33">
        <v>4</v>
      </c>
      <c r="D188" s="34" t="str">
        <f t="shared" si="467"/>
        <v>50904</v>
      </c>
      <c r="E188" s="33" t="s">
        <v>11</v>
      </c>
      <c r="F188" s="44" t="s">
        <v>22</v>
      </c>
      <c r="G188" s="71" t="s">
        <v>25</v>
      </c>
      <c r="H188" s="72">
        <f>SUM(H185:H186)</f>
        <v>24000</v>
      </c>
      <c r="I188" s="73">
        <f t="shared" ref="I188" si="652">SUM(I185:I186)</f>
        <v>26400</v>
      </c>
      <c r="J188" s="73">
        <f t="shared" ref="J188" si="653">SUM(J185:J186)</f>
        <v>21600</v>
      </c>
      <c r="K188" s="73"/>
      <c r="L188" s="73"/>
      <c r="M188" s="74" t="str">
        <f t="shared" si="604"/>
        <v/>
      </c>
      <c r="N188" s="73">
        <f>SUM(N185:N186)</f>
        <v>160</v>
      </c>
      <c r="O188" s="73">
        <f t="shared" ref="O188" si="654">SUM(O185:O186)</f>
        <v>200</v>
      </c>
      <c r="P188" s="73"/>
      <c r="Q188" s="73">
        <f t="shared" ref="Q188" si="655">SUM(Q185:Q186)</f>
        <v>150</v>
      </c>
      <c r="R188" s="75">
        <f>SUM(R185:R187)</f>
        <v>24000</v>
      </c>
      <c r="S188" s="75">
        <f>SUM(S185:S187)</f>
        <v>30000.000000000004</v>
      </c>
      <c r="T188" s="76"/>
      <c r="U188" s="77">
        <f>SUM(U185:U187)</f>
        <v>18000</v>
      </c>
      <c r="V188" s="45">
        <f ca="1">VLOOKUP(F188,AGE!F:J,4,FALSE)</f>
        <v>2001</v>
      </c>
      <c r="W188" s="45">
        <f ca="1">VLOOKUP(F188,AGE!F:J,5,FALSE)</f>
        <v>1920</v>
      </c>
      <c r="Y188" s="33">
        <f t="shared" si="557"/>
        <v>0</v>
      </c>
    </row>
    <row r="189" spans="1:25" x14ac:dyDescent="0.3">
      <c r="A189" s="78">
        <v>60</v>
      </c>
      <c r="B189" s="79">
        <v>10</v>
      </c>
      <c r="C189" s="79">
        <v>1</v>
      </c>
      <c r="D189" s="80" t="str">
        <f t="shared" si="467"/>
        <v>60101</v>
      </c>
      <c r="E189" s="79" t="s">
        <v>6</v>
      </c>
      <c r="F189" s="81" t="s">
        <v>14</v>
      </c>
      <c r="G189" s="82" t="s">
        <v>6</v>
      </c>
      <c r="H189" s="83"/>
      <c r="I189" s="80"/>
      <c r="J189" s="80"/>
      <c r="K189" s="80"/>
      <c r="L189" s="84"/>
      <c r="M189" s="80"/>
      <c r="N189" s="34">
        <f t="shared" ref="N189:N196" si="656">(O189+Q189)/2</f>
        <v>9</v>
      </c>
      <c r="O189" s="80">
        <v>12</v>
      </c>
      <c r="P189" s="80"/>
      <c r="Q189" s="85">
        <v>6</v>
      </c>
      <c r="R189" s="79"/>
      <c r="S189" s="79"/>
      <c r="T189" s="79"/>
      <c r="U189" s="86"/>
      <c r="V189" s="45">
        <f ca="1">VLOOKUP(F189,AGE!F:J,4,FALSE)</f>
        <v>2013</v>
      </c>
      <c r="W189" s="45">
        <f ca="1">VLOOKUP(F189,AGE!F:J,5,FALSE)</f>
        <v>2010</v>
      </c>
      <c r="Y189" s="33">
        <f t="shared" si="557"/>
        <v>0</v>
      </c>
    </row>
    <row r="190" spans="1:25" x14ac:dyDescent="0.3">
      <c r="A190" s="87">
        <v>60</v>
      </c>
      <c r="B190" s="88">
        <v>20</v>
      </c>
      <c r="C190" s="88">
        <v>1</v>
      </c>
      <c r="D190" s="89" t="str">
        <f t="shared" si="467"/>
        <v>60201</v>
      </c>
      <c r="E190" s="88" t="s">
        <v>6</v>
      </c>
      <c r="F190" s="90" t="s">
        <v>15</v>
      </c>
      <c r="G190" s="54" t="s">
        <v>6</v>
      </c>
      <c r="H190" s="91"/>
      <c r="I190" s="89"/>
      <c r="J190" s="89"/>
      <c r="K190" s="89"/>
      <c r="L190" s="92"/>
      <c r="M190" s="89"/>
      <c r="N190" s="34">
        <f t="shared" si="656"/>
        <v>15</v>
      </c>
      <c r="O190" s="89">
        <v>18</v>
      </c>
      <c r="P190" s="89"/>
      <c r="Q190" s="89">
        <v>12</v>
      </c>
      <c r="R190" s="88"/>
      <c r="S190" s="88"/>
      <c r="T190" s="88"/>
      <c r="U190" s="93"/>
      <c r="V190" s="45">
        <f ca="1">VLOOKUP(F190,AGE!F:J,4,FALSE)</f>
        <v>2011</v>
      </c>
      <c r="W190" s="45">
        <f ca="1">VLOOKUP(F190,AGE!F:J,5,FALSE)</f>
        <v>2008</v>
      </c>
      <c r="Y190" s="33">
        <f t="shared" si="557"/>
        <v>0</v>
      </c>
    </row>
    <row r="191" spans="1:25" x14ac:dyDescent="0.3">
      <c r="A191" s="87">
        <v>60</v>
      </c>
      <c r="B191" s="88">
        <v>30</v>
      </c>
      <c r="C191" s="88">
        <v>1</v>
      </c>
      <c r="D191" s="89" t="str">
        <f t="shared" si="467"/>
        <v>60301</v>
      </c>
      <c r="E191" s="88" t="s">
        <v>6</v>
      </c>
      <c r="F191" s="90" t="s">
        <v>79</v>
      </c>
      <c r="G191" s="54" t="s">
        <v>6</v>
      </c>
      <c r="H191" s="91"/>
      <c r="I191" s="89"/>
      <c r="J191" s="89"/>
      <c r="K191" s="89"/>
      <c r="L191" s="92"/>
      <c r="M191" s="89"/>
      <c r="N191" s="34">
        <f t="shared" si="656"/>
        <v>21</v>
      </c>
      <c r="O191" s="89">
        <v>24</v>
      </c>
      <c r="P191" s="89"/>
      <c r="Q191" s="89">
        <f>+O190</f>
        <v>18</v>
      </c>
      <c r="R191" s="88"/>
      <c r="S191" s="88"/>
      <c r="T191" s="88"/>
      <c r="U191" s="93"/>
      <c r="V191" s="45">
        <f ca="1">VLOOKUP(F191,AGE!F:J,4,FALSE)</f>
        <v>2009</v>
      </c>
      <c r="W191" s="45">
        <f ca="1">VLOOKUP(F191,AGE!F:J,5,FALSE)</f>
        <v>2006</v>
      </c>
      <c r="Y191" s="33">
        <f t="shared" si="557"/>
        <v>0</v>
      </c>
    </row>
    <row r="192" spans="1:25" x14ac:dyDescent="0.3">
      <c r="A192" s="87">
        <v>60</v>
      </c>
      <c r="B192" s="88">
        <v>40</v>
      </c>
      <c r="C192" s="88">
        <v>1</v>
      </c>
      <c r="D192" s="89" t="str">
        <f t="shared" si="467"/>
        <v>60401</v>
      </c>
      <c r="E192" s="88" t="s">
        <v>6</v>
      </c>
      <c r="F192" s="90" t="s">
        <v>17</v>
      </c>
      <c r="G192" s="54" t="s">
        <v>6</v>
      </c>
      <c r="H192" s="91"/>
      <c r="I192" s="89"/>
      <c r="J192" s="89"/>
      <c r="K192" s="89"/>
      <c r="L192" s="92"/>
      <c r="M192" s="89"/>
      <c r="N192" s="34">
        <f t="shared" si="656"/>
        <v>27</v>
      </c>
      <c r="O192" s="89">
        <v>30</v>
      </c>
      <c r="P192" s="89"/>
      <c r="Q192" s="89">
        <f>+O191</f>
        <v>24</v>
      </c>
      <c r="R192" s="88"/>
      <c r="S192" s="88"/>
      <c r="T192" s="88"/>
      <c r="U192" s="88"/>
      <c r="V192" s="45">
        <f ca="1">VLOOKUP(F192,AGE!F:J,4,FALSE)</f>
        <v>2007</v>
      </c>
      <c r="W192" s="45">
        <f ca="1">VLOOKUP(F192,AGE!F:J,5,FALSE)</f>
        <v>2000</v>
      </c>
      <c r="Y192" s="33">
        <f t="shared" si="557"/>
        <v>0</v>
      </c>
    </row>
    <row r="193" spans="1:25" x14ac:dyDescent="0.3">
      <c r="A193" s="87">
        <v>60</v>
      </c>
      <c r="B193" s="88">
        <v>50</v>
      </c>
      <c r="C193" s="88">
        <v>1</v>
      </c>
      <c r="D193" s="89" t="str">
        <f t="shared" si="467"/>
        <v>60501</v>
      </c>
      <c r="E193" s="88" t="s">
        <v>6</v>
      </c>
      <c r="F193" s="90" t="s">
        <v>18</v>
      </c>
      <c r="G193" s="54" t="s">
        <v>6</v>
      </c>
      <c r="H193" s="91"/>
      <c r="I193" s="89"/>
      <c r="J193" s="89"/>
      <c r="K193" s="89"/>
      <c r="L193" s="92"/>
      <c r="M193" s="89"/>
      <c r="N193" s="34">
        <f t="shared" si="656"/>
        <v>37.5</v>
      </c>
      <c r="O193" s="89">
        <v>45</v>
      </c>
      <c r="P193" s="89"/>
      <c r="Q193" s="94">
        <f>+O192</f>
        <v>30</v>
      </c>
      <c r="R193" s="88"/>
      <c r="S193" s="88"/>
      <c r="T193" s="88"/>
      <c r="U193" s="88"/>
      <c r="V193" s="45">
        <f ca="1">VLOOKUP(F193,AGE!F:J,4,FALSE)</f>
        <v>2007</v>
      </c>
      <c r="W193" s="45">
        <f ca="1">VLOOKUP(F193,AGE!F:J,5,FALSE)</f>
        <v>1920</v>
      </c>
      <c r="Y193" s="33">
        <f t="shared" si="557"/>
        <v>0</v>
      </c>
    </row>
    <row r="194" spans="1:25" x14ac:dyDescent="0.3">
      <c r="A194" s="87">
        <v>60</v>
      </c>
      <c r="B194" s="88">
        <v>60</v>
      </c>
      <c r="C194" s="88">
        <v>1</v>
      </c>
      <c r="D194" s="89" t="str">
        <f t="shared" si="467"/>
        <v>60601</v>
      </c>
      <c r="E194" s="88" t="s">
        <v>6</v>
      </c>
      <c r="F194" s="90" t="s">
        <v>19</v>
      </c>
      <c r="G194" s="54" t="s">
        <v>6</v>
      </c>
      <c r="H194" s="91"/>
      <c r="I194" s="89"/>
      <c r="J194" s="89"/>
      <c r="K194" s="89"/>
      <c r="L194" s="92"/>
      <c r="M194" s="89"/>
      <c r="N194" s="34">
        <f t="shared" si="656"/>
        <v>60</v>
      </c>
      <c r="O194" s="89">
        <v>75</v>
      </c>
      <c r="P194" s="89"/>
      <c r="Q194" s="95">
        <f t="shared" ref="Q194:Q195" si="657">+O193</f>
        <v>45</v>
      </c>
      <c r="R194" s="88"/>
      <c r="S194" s="88"/>
      <c r="T194" s="88"/>
      <c r="U194" s="88"/>
      <c r="V194" s="45">
        <f ca="1">VLOOKUP(F194,AGE!F:J,4,FALSE)</f>
        <v>2003</v>
      </c>
      <c r="W194" s="45">
        <f ca="1">VLOOKUP(F194,AGE!F:J,5,FALSE)</f>
        <v>1920</v>
      </c>
      <c r="Y194" s="33">
        <f t="shared" si="557"/>
        <v>0</v>
      </c>
    </row>
    <row r="195" spans="1:25" x14ac:dyDescent="0.3">
      <c r="A195" s="87">
        <v>60</v>
      </c>
      <c r="B195" s="88">
        <v>70</v>
      </c>
      <c r="C195" s="88">
        <v>1</v>
      </c>
      <c r="D195" s="89" t="str">
        <f t="shared" si="467"/>
        <v>60701</v>
      </c>
      <c r="E195" s="88" t="s">
        <v>6</v>
      </c>
      <c r="F195" s="90" t="s">
        <v>20</v>
      </c>
      <c r="G195" s="54" t="s">
        <v>6</v>
      </c>
      <c r="H195" s="91"/>
      <c r="I195" s="89"/>
      <c r="J195" s="89"/>
      <c r="K195" s="89"/>
      <c r="L195" s="92"/>
      <c r="M195" s="89"/>
      <c r="N195" s="34">
        <f t="shared" si="656"/>
        <v>97.5</v>
      </c>
      <c r="O195" s="89">
        <v>120</v>
      </c>
      <c r="P195" s="89"/>
      <c r="Q195" s="95">
        <f t="shared" si="657"/>
        <v>75</v>
      </c>
      <c r="R195" s="88"/>
      <c r="S195" s="88"/>
      <c r="T195" s="88"/>
      <c r="U195" s="88"/>
      <c r="V195" s="45">
        <f ca="1">VLOOKUP(F195,AGE!F:J,4,FALSE)</f>
        <v>2001</v>
      </c>
      <c r="W195" s="45">
        <f ca="1">VLOOKUP(F195,AGE!F:J,5,FALSE)</f>
        <v>1920</v>
      </c>
      <c r="Y195" s="33">
        <f t="shared" si="557"/>
        <v>0</v>
      </c>
    </row>
    <row r="196" spans="1:25" x14ac:dyDescent="0.3">
      <c r="A196" s="96">
        <v>60</v>
      </c>
      <c r="B196" s="97">
        <v>80</v>
      </c>
      <c r="C196" s="97">
        <v>1</v>
      </c>
      <c r="D196" s="98" t="str">
        <f t="shared" si="467"/>
        <v>60801</v>
      </c>
      <c r="E196" s="97" t="s">
        <v>6</v>
      </c>
      <c r="F196" s="99" t="s">
        <v>21</v>
      </c>
      <c r="G196" s="100" t="s">
        <v>6</v>
      </c>
      <c r="H196" s="101"/>
      <c r="I196" s="98"/>
      <c r="J196" s="98"/>
      <c r="K196" s="98"/>
      <c r="L196" s="102"/>
      <c r="M196" s="98"/>
      <c r="N196" s="34">
        <f t="shared" si="656"/>
        <v>160</v>
      </c>
      <c r="O196" s="98">
        <v>200</v>
      </c>
      <c r="P196" s="98"/>
      <c r="Q196" s="98">
        <f>+O195</f>
        <v>120</v>
      </c>
      <c r="R196" s="97"/>
      <c r="S196" s="97"/>
      <c r="T196" s="97"/>
      <c r="U196" s="97"/>
      <c r="V196" s="45">
        <f ca="1">VLOOKUP(F196,AGE!F:J,4,FALSE)</f>
        <v>2001</v>
      </c>
      <c r="W196" s="45">
        <f ca="1">VLOOKUP(F196,AGE!F:J,5,FALSE)</f>
        <v>1920</v>
      </c>
      <c r="Y196" s="33">
        <f t="shared" si="557"/>
        <v>0</v>
      </c>
    </row>
    <row r="197" spans="1:25" x14ac:dyDescent="0.3">
      <c r="A197" s="33">
        <v>70</v>
      </c>
      <c r="B197" s="33">
        <v>50</v>
      </c>
      <c r="C197" s="33">
        <v>1</v>
      </c>
      <c r="D197" s="34" t="str">
        <f t="shared" si="467"/>
        <v>70501</v>
      </c>
      <c r="E197" s="33" t="s">
        <v>36</v>
      </c>
      <c r="F197" s="44" t="s">
        <v>18</v>
      </c>
      <c r="G197" s="54" t="s">
        <v>10</v>
      </c>
      <c r="H197" s="36">
        <v>2000</v>
      </c>
      <c r="I197" s="103">
        <f t="shared" ref="I197:I199" si="658">H197*1.1</f>
        <v>2200</v>
      </c>
      <c r="J197" s="103">
        <f t="shared" ref="J197:J199" si="659">H197*0.9</f>
        <v>1800</v>
      </c>
      <c r="K197" s="104">
        <v>4.5</v>
      </c>
      <c r="L197" s="105" t="s">
        <v>32</v>
      </c>
      <c r="M197" s="106">
        <f t="shared" ref="M197:M200" si="660">IF(L197="Sec/100m",((K197)/60/100),(IF(L197="Km/h",60/K197/1000,(IF(L197="Min/km",K197/1000,"")))))</f>
        <v>4.4999999999999997E-3</v>
      </c>
      <c r="N197" s="107">
        <f t="shared" ref="N197:N199" si="661">H197*M197</f>
        <v>9</v>
      </c>
      <c r="O197" s="107">
        <f t="shared" ref="O197:O199" si="662">N197*1.25</f>
        <v>11.25</v>
      </c>
      <c r="P197" s="51">
        <f t="shared" ref="P197:P199" si="663">N197*1.4</f>
        <v>12.6</v>
      </c>
      <c r="Q197" s="107">
        <f>O193</f>
        <v>45</v>
      </c>
      <c r="R197" s="108">
        <f t="shared" ref="R197:R199" si="664">N197/M197</f>
        <v>2000.0000000000002</v>
      </c>
      <c r="S197" s="108">
        <f t="shared" ref="S197:S199" si="665">O197/M197</f>
        <v>2500</v>
      </c>
      <c r="T197" s="108">
        <f t="shared" ref="T197:T199" si="666">P197/M197</f>
        <v>2800</v>
      </c>
      <c r="U197" s="67">
        <f>(N197*0.5)/M197</f>
        <v>1000.0000000000001</v>
      </c>
      <c r="V197" s="45">
        <f ca="1">VLOOKUP(F197,AGE!F:J,4,FALSE)</f>
        <v>2007</v>
      </c>
      <c r="W197" s="45">
        <f ca="1">VLOOKUP(F197,AGE!F:J,5,FALSE)</f>
        <v>1920</v>
      </c>
      <c r="Y197" s="33">
        <f t="shared" si="557"/>
        <v>0</v>
      </c>
    </row>
    <row r="198" spans="1:25" x14ac:dyDescent="0.3">
      <c r="A198" s="33">
        <v>70</v>
      </c>
      <c r="B198" s="33">
        <v>50</v>
      </c>
      <c r="C198" s="33">
        <v>2</v>
      </c>
      <c r="D198" s="34" t="str">
        <f t="shared" si="467"/>
        <v>70502</v>
      </c>
      <c r="E198" s="33" t="s">
        <v>36</v>
      </c>
      <c r="F198" s="44" t="s">
        <v>18</v>
      </c>
      <c r="G198" s="54" t="s">
        <v>13</v>
      </c>
      <c r="H198" s="36">
        <v>3500</v>
      </c>
      <c r="I198" s="47">
        <f t="shared" si="658"/>
        <v>3850.0000000000005</v>
      </c>
      <c r="J198" s="47">
        <f t="shared" si="659"/>
        <v>3150</v>
      </c>
      <c r="K198" s="47">
        <v>15</v>
      </c>
      <c r="L198" s="48" t="s">
        <v>28</v>
      </c>
      <c r="M198" s="49">
        <f t="shared" si="660"/>
        <v>4.0000000000000001E-3</v>
      </c>
      <c r="N198" s="50">
        <f t="shared" si="661"/>
        <v>14</v>
      </c>
      <c r="O198" s="50">
        <f t="shared" si="662"/>
        <v>17.5</v>
      </c>
      <c r="P198" s="51">
        <f t="shared" si="663"/>
        <v>19.599999999999998</v>
      </c>
      <c r="Q198" s="50">
        <f>O194</f>
        <v>75</v>
      </c>
      <c r="R198" s="52">
        <f t="shared" si="664"/>
        <v>3500</v>
      </c>
      <c r="S198" s="52">
        <f t="shared" si="665"/>
        <v>4375</v>
      </c>
      <c r="T198" s="52">
        <f t="shared" si="666"/>
        <v>4899.9999999999991</v>
      </c>
      <c r="U198" s="67">
        <f t="shared" ref="U198:U199" si="667">(N198*0.5)/M198</f>
        <v>1750</v>
      </c>
      <c r="V198" s="45">
        <f ca="1">VLOOKUP(F198,AGE!F:J,4,FALSE)</f>
        <v>2007</v>
      </c>
      <c r="W198" s="45">
        <f ca="1">VLOOKUP(F198,AGE!F:J,5,FALSE)</f>
        <v>1920</v>
      </c>
      <c r="Y198" s="33">
        <f t="shared" si="557"/>
        <v>0</v>
      </c>
    </row>
    <row r="199" spans="1:25" x14ac:dyDescent="0.3">
      <c r="A199" s="33">
        <v>70</v>
      </c>
      <c r="B199" s="33">
        <v>50</v>
      </c>
      <c r="C199" s="33">
        <v>3</v>
      </c>
      <c r="D199" s="34" t="str">
        <f t="shared" si="467"/>
        <v>70503</v>
      </c>
      <c r="E199" s="33" t="s">
        <v>36</v>
      </c>
      <c r="F199" s="44" t="s">
        <v>18</v>
      </c>
      <c r="G199" s="54" t="s">
        <v>37</v>
      </c>
      <c r="H199" s="36">
        <v>3000</v>
      </c>
      <c r="I199" s="47">
        <f t="shared" si="658"/>
        <v>3300.0000000000005</v>
      </c>
      <c r="J199" s="47">
        <f t="shared" si="659"/>
        <v>2700</v>
      </c>
      <c r="K199" s="68">
        <v>4.5</v>
      </c>
      <c r="L199" s="48" t="s">
        <v>32</v>
      </c>
      <c r="M199" s="49">
        <f t="shared" si="660"/>
        <v>4.4999999999999997E-3</v>
      </c>
      <c r="N199" s="50">
        <f t="shared" si="661"/>
        <v>13.499999999999998</v>
      </c>
      <c r="O199" s="50">
        <f t="shared" si="662"/>
        <v>16.874999999999996</v>
      </c>
      <c r="P199" s="51">
        <f t="shared" si="663"/>
        <v>18.899999999999995</v>
      </c>
      <c r="Q199" s="50">
        <f>O195</f>
        <v>120</v>
      </c>
      <c r="R199" s="52">
        <f t="shared" si="664"/>
        <v>3000</v>
      </c>
      <c r="S199" s="52">
        <f t="shared" si="665"/>
        <v>3749.9999999999995</v>
      </c>
      <c r="T199" s="52">
        <f t="shared" si="666"/>
        <v>4199.9999999999991</v>
      </c>
      <c r="U199" s="67">
        <f t="shared" si="667"/>
        <v>1500</v>
      </c>
      <c r="V199" s="45">
        <f ca="1">VLOOKUP(F199,AGE!F:J,4,FALSE)</f>
        <v>2007</v>
      </c>
      <c r="W199" s="45">
        <f ca="1">VLOOKUP(F199,AGE!F:J,5,FALSE)</f>
        <v>1920</v>
      </c>
      <c r="Y199" s="33">
        <f t="shared" si="557"/>
        <v>0</v>
      </c>
    </row>
    <row r="200" spans="1:25" x14ac:dyDescent="0.3">
      <c r="A200" s="33">
        <v>70</v>
      </c>
      <c r="B200" s="33">
        <v>50</v>
      </c>
      <c r="C200" s="33">
        <v>4</v>
      </c>
      <c r="D200" s="34" t="str">
        <f t="shared" ref="D200" si="668">CONCATENATE(A200,B200,C200)</f>
        <v>70504</v>
      </c>
      <c r="E200" s="33" t="s">
        <v>36</v>
      </c>
      <c r="F200" s="44" t="s">
        <v>18</v>
      </c>
      <c r="G200" s="109" t="s">
        <v>25</v>
      </c>
      <c r="H200" s="110">
        <f>+SUM(H197:H199)</f>
        <v>8500</v>
      </c>
      <c r="I200" s="57">
        <f t="shared" ref="I200:J200" si="669">SUM(I197:I198)</f>
        <v>6050</v>
      </c>
      <c r="J200" s="57">
        <f t="shared" si="669"/>
        <v>4950</v>
      </c>
      <c r="K200" s="57"/>
      <c r="L200" s="57"/>
      <c r="M200" s="49" t="str">
        <f t="shared" si="660"/>
        <v/>
      </c>
      <c r="N200" s="57">
        <f>SUM(N197:N198)</f>
        <v>23</v>
      </c>
      <c r="O200" s="57">
        <f t="shared" ref="O200" si="670">SUM(O197:O198)</f>
        <v>28.75</v>
      </c>
      <c r="P200" s="57"/>
      <c r="Q200" s="57">
        <f t="shared" ref="Q200" si="671">SUM(Q197:Q198)</f>
        <v>120</v>
      </c>
      <c r="R200" s="64">
        <f>SUM(R197:R199)</f>
        <v>8500</v>
      </c>
      <c r="S200" s="64">
        <f>SUM(S197:S199)</f>
        <v>10625</v>
      </c>
      <c r="T200" s="65"/>
      <c r="U200" s="66">
        <f>SUM(U197:U199)</f>
        <v>4250</v>
      </c>
      <c r="V200" s="45">
        <f ca="1">VLOOKUP(F200,AGE!F:J,4,FALSE)</f>
        <v>2007</v>
      </c>
      <c r="W200" s="45">
        <f ca="1">VLOOKUP(F200,AGE!F:J,5,FALSE)</f>
        <v>1920</v>
      </c>
      <c r="Y200" s="33">
        <f t="shared" si="557"/>
        <v>0</v>
      </c>
    </row>
    <row r="201" spans="1:25" x14ac:dyDescent="0.3">
      <c r="A201" s="33">
        <v>70</v>
      </c>
      <c r="B201" s="33">
        <v>60</v>
      </c>
      <c r="C201" s="33">
        <v>1</v>
      </c>
      <c r="D201" s="34" t="str">
        <f t="shared" si="467"/>
        <v>70601</v>
      </c>
      <c r="E201" s="33" t="s">
        <v>36</v>
      </c>
      <c r="F201" s="44" t="s">
        <v>19</v>
      </c>
      <c r="G201" s="54" t="s">
        <v>10</v>
      </c>
      <c r="H201" s="36">
        <v>4000</v>
      </c>
      <c r="I201" s="47">
        <f t="shared" ref="I201:I203" si="672">H201*1.1</f>
        <v>4400</v>
      </c>
      <c r="J201" s="47">
        <f t="shared" ref="J201:J203" si="673">H201*0.9</f>
        <v>3600</v>
      </c>
      <c r="K201" s="68">
        <v>4.5</v>
      </c>
      <c r="L201" s="48" t="s">
        <v>32</v>
      </c>
      <c r="M201" s="49">
        <f t="shared" ref="M201:M204" si="674">IF(L201="Sec/100m",((K201)/60/100),(IF(L201="Km/h",60/K201/1000,(IF(L201="Min/km",K201/1000,"")))))</f>
        <v>4.4999999999999997E-3</v>
      </c>
      <c r="N201" s="50">
        <f t="shared" ref="N201:N203" si="675">H201*M201</f>
        <v>18</v>
      </c>
      <c r="O201" s="50">
        <f t="shared" ref="O201:O203" si="676">N201*1.25</f>
        <v>22.5</v>
      </c>
      <c r="P201" s="51">
        <f t="shared" ref="P201:P203" si="677">N201*1.4</f>
        <v>25.2</v>
      </c>
      <c r="Q201" s="50">
        <f>O197</f>
        <v>11.25</v>
      </c>
      <c r="R201" s="52">
        <f t="shared" ref="R201:R203" si="678">N201/M201</f>
        <v>4000.0000000000005</v>
      </c>
      <c r="S201" s="52">
        <f t="shared" ref="S201:S203" si="679">O201/M201</f>
        <v>5000</v>
      </c>
      <c r="T201" s="52">
        <f t="shared" ref="T201:T203" si="680">P201/M201</f>
        <v>5600</v>
      </c>
      <c r="U201" s="67">
        <f>S197</f>
        <v>2500</v>
      </c>
      <c r="V201" s="45">
        <f ca="1">VLOOKUP(F201,AGE!F:J,4,FALSE)</f>
        <v>2003</v>
      </c>
      <c r="W201" s="45">
        <f ca="1">VLOOKUP(F201,AGE!F:J,5,FALSE)</f>
        <v>1920</v>
      </c>
      <c r="Y201" s="33">
        <f t="shared" si="557"/>
        <v>0</v>
      </c>
    </row>
    <row r="202" spans="1:25" x14ac:dyDescent="0.3">
      <c r="A202" s="33">
        <v>70</v>
      </c>
      <c r="B202" s="33">
        <v>60</v>
      </c>
      <c r="C202" s="33">
        <v>2</v>
      </c>
      <c r="D202" s="34" t="str">
        <f t="shared" si="467"/>
        <v>70602</v>
      </c>
      <c r="E202" s="33" t="s">
        <v>36</v>
      </c>
      <c r="F202" s="44" t="s">
        <v>19</v>
      </c>
      <c r="G202" s="54" t="s">
        <v>13</v>
      </c>
      <c r="H202" s="36">
        <v>7000</v>
      </c>
      <c r="I202" s="47">
        <f t="shared" si="672"/>
        <v>7700.0000000000009</v>
      </c>
      <c r="J202" s="47">
        <f t="shared" si="673"/>
        <v>6300</v>
      </c>
      <c r="K202" s="47">
        <v>15</v>
      </c>
      <c r="L202" s="48" t="s">
        <v>28</v>
      </c>
      <c r="M202" s="49">
        <f t="shared" si="674"/>
        <v>4.0000000000000001E-3</v>
      </c>
      <c r="N202" s="50">
        <f t="shared" si="675"/>
        <v>28</v>
      </c>
      <c r="O202" s="50">
        <f t="shared" si="676"/>
        <v>35</v>
      </c>
      <c r="P202" s="51">
        <f t="shared" si="677"/>
        <v>39.199999999999996</v>
      </c>
      <c r="Q202" s="50">
        <f>O198</f>
        <v>17.5</v>
      </c>
      <c r="R202" s="52">
        <f t="shared" si="678"/>
        <v>7000</v>
      </c>
      <c r="S202" s="52">
        <f t="shared" si="679"/>
        <v>8750</v>
      </c>
      <c r="T202" s="52">
        <f t="shared" si="680"/>
        <v>9799.9999999999982</v>
      </c>
      <c r="U202" s="67">
        <f>S198</f>
        <v>4375</v>
      </c>
      <c r="V202" s="45">
        <f ca="1">VLOOKUP(F202,AGE!F:J,4,FALSE)</f>
        <v>2003</v>
      </c>
      <c r="W202" s="45">
        <f ca="1">VLOOKUP(F202,AGE!F:J,5,FALSE)</f>
        <v>1920</v>
      </c>
      <c r="Y202" s="33">
        <f t="shared" si="557"/>
        <v>0</v>
      </c>
    </row>
    <row r="203" spans="1:25" x14ac:dyDescent="0.3">
      <c r="A203" s="33">
        <v>70</v>
      </c>
      <c r="B203" s="33">
        <v>60</v>
      </c>
      <c r="C203" s="33">
        <v>3</v>
      </c>
      <c r="D203" s="34" t="str">
        <f t="shared" si="467"/>
        <v>70603</v>
      </c>
      <c r="E203" s="33" t="s">
        <v>36</v>
      </c>
      <c r="F203" s="44" t="s">
        <v>19</v>
      </c>
      <c r="G203" s="54" t="s">
        <v>37</v>
      </c>
      <c r="H203" s="36">
        <v>6000</v>
      </c>
      <c r="I203" s="47">
        <f t="shared" si="672"/>
        <v>6600.0000000000009</v>
      </c>
      <c r="J203" s="47">
        <f t="shared" si="673"/>
        <v>5400</v>
      </c>
      <c r="K203" s="68">
        <v>4.5</v>
      </c>
      <c r="L203" s="48" t="s">
        <v>32</v>
      </c>
      <c r="M203" s="49">
        <f t="shared" si="674"/>
        <v>4.4999999999999997E-3</v>
      </c>
      <c r="N203" s="50">
        <f t="shared" si="675"/>
        <v>26.999999999999996</v>
      </c>
      <c r="O203" s="50">
        <f t="shared" si="676"/>
        <v>33.749999999999993</v>
      </c>
      <c r="P203" s="51">
        <f t="shared" si="677"/>
        <v>37.79999999999999</v>
      </c>
      <c r="Q203" s="50">
        <f>O199</f>
        <v>16.874999999999996</v>
      </c>
      <c r="R203" s="52">
        <f t="shared" si="678"/>
        <v>6000</v>
      </c>
      <c r="S203" s="52">
        <f t="shared" si="679"/>
        <v>7499.9999999999991</v>
      </c>
      <c r="T203" s="52">
        <f t="shared" si="680"/>
        <v>8399.9999999999982</v>
      </c>
      <c r="U203" s="67">
        <f>S199</f>
        <v>3749.9999999999995</v>
      </c>
      <c r="V203" s="45">
        <f ca="1">VLOOKUP(F203,AGE!F:J,4,FALSE)</f>
        <v>2003</v>
      </c>
      <c r="W203" s="45">
        <f ca="1">VLOOKUP(F203,AGE!F:J,5,FALSE)</f>
        <v>1920</v>
      </c>
      <c r="Y203" s="33">
        <f t="shared" si="557"/>
        <v>0</v>
      </c>
    </row>
    <row r="204" spans="1:25" x14ac:dyDescent="0.3">
      <c r="A204" s="33">
        <v>70</v>
      </c>
      <c r="B204" s="33">
        <v>60</v>
      </c>
      <c r="C204" s="33">
        <v>4</v>
      </c>
      <c r="D204" s="34" t="str">
        <f t="shared" ref="D204" si="681">CONCATENATE(A204,B204,C204)</f>
        <v>70604</v>
      </c>
      <c r="E204" s="33" t="s">
        <v>36</v>
      </c>
      <c r="F204" s="44" t="s">
        <v>19</v>
      </c>
      <c r="G204" s="109" t="s">
        <v>25</v>
      </c>
      <c r="H204" s="110">
        <f>+SUM(H201:H203)</f>
        <v>17000</v>
      </c>
      <c r="I204" s="57">
        <f t="shared" ref="I204" si="682">SUM(I201:I202)</f>
        <v>12100</v>
      </c>
      <c r="J204" s="57">
        <f t="shared" ref="J204" si="683">SUM(J201:J202)</f>
        <v>9900</v>
      </c>
      <c r="K204" s="57"/>
      <c r="L204" s="57"/>
      <c r="M204" s="49" t="str">
        <f t="shared" si="674"/>
        <v/>
      </c>
      <c r="N204" s="57">
        <f>SUM(N201:N202)</f>
        <v>46</v>
      </c>
      <c r="O204" s="57">
        <f t="shared" ref="O204" si="684">SUM(O201:O202)</f>
        <v>57.5</v>
      </c>
      <c r="P204" s="57"/>
      <c r="Q204" s="57">
        <f t="shared" ref="Q204" si="685">SUM(Q201:Q202)</f>
        <v>28.75</v>
      </c>
      <c r="R204" s="64">
        <f>SUM(R201:R203)</f>
        <v>17000</v>
      </c>
      <c r="S204" s="64">
        <f>SUM(S201:S203)</f>
        <v>21250</v>
      </c>
      <c r="T204" s="65"/>
      <c r="U204" s="66">
        <f>SUM(U201:U203)</f>
        <v>10625</v>
      </c>
      <c r="V204" s="45">
        <f ca="1">VLOOKUP(F204,AGE!F:J,4,FALSE)</f>
        <v>2003</v>
      </c>
      <c r="W204" s="45">
        <f ca="1">VLOOKUP(F204,AGE!F:J,5,FALSE)</f>
        <v>1920</v>
      </c>
      <c r="Y204" s="33">
        <f t="shared" si="557"/>
        <v>0</v>
      </c>
    </row>
    <row r="205" spans="1:25" x14ac:dyDescent="0.3">
      <c r="A205" s="33">
        <v>70</v>
      </c>
      <c r="B205" s="33">
        <v>70</v>
      </c>
      <c r="C205" s="33">
        <v>1</v>
      </c>
      <c r="D205" s="34" t="str">
        <f t="shared" si="467"/>
        <v>70701</v>
      </c>
      <c r="E205" s="33" t="s">
        <v>36</v>
      </c>
      <c r="F205" s="44" t="s">
        <v>20</v>
      </c>
      <c r="G205" s="54" t="s">
        <v>10</v>
      </c>
      <c r="H205" s="36">
        <v>8000</v>
      </c>
      <c r="I205" s="47">
        <f t="shared" ref="I205:I207" si="686">H205*1.1</f>
        <v>8800</v>
      </c>
      <c r="J205" s="47">
        <f t="shared" ref="J205:J207" si="687">H205*0.9</f>
        <v>7200</v>
      </c>
      <c r="K205" s="68">
        <v>4.5</v>
      </c>
      <c r="L205" s="48" t="s">
        <v>32</v>
      </c>
      <c r="M205" s="49">
        <f t="shared" ref="M205:M208" si="688">IF(L205="Sec/100m",((K205)/60/100),(IF(L205="Km/h",60/K205/1000,(IF(L205="Min/km",K205/1000,"")))))</f>
        <v>4.4999999999999997E-3</v>
      </c>
      <c r="N205" s="50">
        <f t="shared" ref="N205:N207" si="689">H205*M205</f>
        <v>36</v>
      </c>
      <c r="O205" s="50">
        <f t="shared" ref="O205:O207" si="690">N205*1.25</f>
        <v>45</v>
      </c>
      <c r="P205" s="51">
        <f t="shared" ref="P205:P207" si="691">N205*1.4</f>
        <v>50.4</v>
      </c>
      <c r="Q205" s="50">
        <f>O201</f>
        <v>22.5</v>
      </c>
      <c r="R205" s="52">
        <f t="shared" ref="R205:R207" si="692">N205/M205</f>
        <v>8000.0000000000009</v>
      </c>
      <c r="S205" s="52">
        <f t="shared" ref="S205:S207" si="693">O205/M205</f>
        <v>10000</v>
      </c>
      <c r="T205" s="52">
        <f t="shared" ref="T205:T207" si="694">P205/M205</f>
        <v>11200</v>
      </c>
      <c r="U205" s="67">
        <f>S201</f>
        <v>5000</v>
      </c>
      <c r="V205" s="45">
        <f ca="1">VLOOKUP(F205,AGE!F:J,4,FALSE)</f>
        <v>2001</v>
      </c>
      <c r="W205" s="45">
        <f ca="1">VLOOKUP(F205,AGE!F:J,5,FALSE)</f>
        <v>1920</v>
      </c>
      <c r="Y205" s="33">
        <f t="shared" si="557"/>
        <v>0</v>
      </c>
    </row>
    <row r="206" spans="1:25" x14ac:dyDescent="0.3">
      <c r="A206" s="33">
        <v>70</v>
      </c>
      <c r="B206" s="33">
        <v>70</v>
      </c>
      <c r="C206" s="33">
        <v>2</v>
      </c>
      <c r="D206" s="34" t="str">
        <f t="shared" si="467"/>
        <v>70702</v>
      </c>
      <c r="E206" s="33" t="s">
        <v>36</v>
      </c>
      <c r="F206" s="44" t="s">
        <v>20</v>
      </c>
      <c r="G206" s="54" t="s">
        <v>13</v>
      </c>
      <c r="H206" s="36">
        <v>14000</v>
      </c>
      <c r="I206" s="47">
        <f t="shared" si="686"/>
        <v>15400.000000000002</v>
      </c>
      <c r="J206" s="47">
        <f t="shared" si="687"/>
        <v>12600</v>
      </c>
      <c r="K206" s="47">
        <v>15</v>
      </c>
      <c r="L206" s="48" t="s">
        <v>28</v>
      </c>
      <c r="M206" s="49">
        <f t="shared" si="688"/>
        <v>4.0000000000000001E-3</v>
      </c>
      <c r="N206" s="50">
        <f t="shared" si="689"/>
        <v>56</v>
      </c>
      <c r="O206" s="50">
        <f t="shared" si="690"/>
        <v>70</v>
      </c>
      <c r="P206" s="51">
        <f t="shared" si="691"/>
        <v>78.399999999999991</v>
      </c>
      <c r="Q206" s="50">
        <f>O202</f>
        <v>35</v>
      </c>
      <c r="R206" s="52">
        <f t="shared" si="692"/>
        <v>14000</v>
      </c>
      <c r="S206" s="52">
        <f t="shared" si="693"/>
        <v>17500</v>
      </c>
      <c r="T206" s="52">
        <f t="shared" si="694"/>
        <v>19599.999999999996</v>
      </c>
      <c r="U206" s="67">
        <f>S202</f>
        <v>8750</v>
      </c>
      <c r="V206" s="45">
        <f ca="1">VLOOKUP(F206,AGE!F:J,4,FALSE)</f>
        <v>2001</v>
      </c>
      <c r="W206" s="45">
        <f ca="1">VLOOKUP(F206,AGE!F:J,5,FALSE)</f>
        <v>1920</v>
      </c>
      <c r="Y206" s="33">
        <f t="shared" si="557"/>
        <v>0</v>
      </c>
    </row>
    <row r="207" spans="1:25" x14ac:dyDescent="0.3">
      <c r="A207" s="33">
        <v>70</v>
      </c>
      <c r="B207" s="33">
        <v>70</v>
      </c>
      <c r="C207" s="33">
        <v>3</v>
      </c>
      <c r="D207" s="34" t="str">
        <f t="shared" si="467"/>
        <v>70703</v>
      </c>
      <c r="E207" s="33" t="s">
        <v>36</v>
      </c>
      <c r="F207" s="44" t="s">
        <v>20</v>
      </c>
      <c r="G207" s="54" t="s">
        <v>37</v>
      </c>
      <c r="H207" s="36">
        <v>12000</v>
      </c>
      <c r="I207" s="47">
        <f t="shared" si="686"/>
        <v>13200.000000000002</v>
      </c>
      <c r="J207" s="47">
        <f t="shared" si="687"/>
        <v>10800</v>
      </c>
      <c r="K207" s="68">
        <v>4.5</v>
      </c>
      <c r="L207" s="48" t="s">
        <v>32</v>
      </c>
      <c r="M207" s="49">
        <f t="shared" si="688"/>
        <v>4.4999999999999997E-3</v>
      </c>
      <c r="N207" s="50">
        <f t="shared" si="689"/>
        <v>53.999999999999993</v>
      </c>
      <c r="O207" s="50">
        <f t="shared" si="690"/>
        <v>67.499999999999986</v>
      </c>
      <c r="P207" s="51">
        <f t="shared" si="691"/>
        <v>75.59999999999998</v>
      </c>
      <c r="Q207" s="50">
        <f>O203</f>
        <v>33.749999999999993</v>
      </c>
      <c r="R207" s="52">
        <f t="shared" si="692"/>
        <v>12000</v>
      </c>
      <c r="S207" s="52">
        <f t="shared" si="693"/>
        <v>14999.999999999998</v>
      </c>
      <c r="T207" s="52">
        <f t="shared" si="694"/>
        <v>16799.999999999996</v>
      </c>
      <c r="U207" s="67">
        <f>S203</f>
        <v>7499.9999999999991</v>
      </c>
      <c r="V207" s="45">
        <f ca="1">VLOOKUP(F207,AGE!F:J,4,FALSE)</f>
        <v>2001</v>
      </c>
      <c r="W207" s="45">
        <f ca="1">VLOOKUP(F207,AGE!F:J,5,FALSE)</f>
        <v>1920</v>
      </c>
      <c r="Y207" s="33">
        <f t="shared" si="557"/>
        <v>0</v>
      </c>
    </row>
    <row r="208" spans="1:25" x14ac:dyDescent="0.3">
      <c r="A208" s="33">
        <v>70</v>
      </c>
      <c r="B208" s="33">
        <v>70</v>
      </c>
      <c r="C208" s="33">
        <v>4</v>
      </c>
      <c r="D208" s="34" t="str">
        <f t="shared" ref="D208" si="695">CONCATENATE(A208,B208,C208)</f>
        <v>70704</v>
      </c>
      <c r="E208" s="33" t="s">
        <v>36</v>
      </c>
      <c r="F208" s="44" t="s">
        <v>20</v>
      </c>
      <c r="G208" s="109" t="s">
        <v>25</v>
      </c>
      <c r="H208" s="110">
        <f>+SUM(H205:H207)</f>
        <v>34000</v>
      </c>
      <c r="I208" s="57">
        <f t="shared" ref="I208" si="696">SUM(I205:I206)</f>
        <v>24200</v>
      </c>
      <c r="J208" s="57">
        <f t="shared" ref="J208" si="697">SUM(J205:J206)</f>
        <v>19800</v>
      </c>
      <c r="K208" s="57"/>
      <c r="L208" s="57"/>
      <c r="M208" s="49" t="str">
        <f t="shared" si="688"/>
        <v/>
      </c>
      <c r="N208" s="57">
        <f>SUM(N205:N206)</f>
        <v>92</v>
      </c>
      <c r="O208" s="57">
        <f t="shared" ref="O208" si="698">SUM(O205:O206)</f>
        <v>115</v>
      </c>
      <c r="P208" s="57"/>
      <c r="Q208" s="57">
        <f t="shared" ref="Q208" si="699">SUM(Q205:Q206)</f>
        <v>57.5</v>
      </c>
      <c r="R208" s="64">
        <f>SUM(R205:R207)</f>
        <v>34000</v>
      </c>
      <c r="S208" s="64">
        <f>SUM(S205:S207)</f>
        <v>42500</v>
      </c>
      <c r="T208" s="65"/>
      <c r="U208" s="66">
        <f>SUM(U205:U207)</f>
        <v>21250</v>
      </c>
      <c r="V208" s="45">
        <f ca="1">VLOOKUP(F208,AGE!F:J,4,FALSE)</f>
        <v>2001</v>
      </c>
      <c r="W208" s="45">
        <f ca="1">VLOOKUP(F208,AGE!F:J,5,FALSE)</f>
        <v>1920</v>
      </c>
      <c r="Y208" s="33">
        <f t="shared" si="557"/>
        <v>0</v>
      </c>
    </row>
    <row r="209" spans="1:25" x14ac:dyDescent="0.3">
      <c r="A209" s="33">
        <v>80</v>
      </c>
      <c r="B209" s="33">
        <v>50</v>
      </c>
      <c r="C209" s="33">
        <v>1</v>
      </c>
      <c r="D209" s="34" t="str">
        <f t="shared" si="467"/>
        <v>80501</v>
      </c>
      <c r="E209" s="33" t="s">
        <v>12</v>
      </c>
      <c r="F209" s="44" t="s">
        <v>18</v>
      </c>
      <c r="G209" s="54" t="s">
        <v>10</v>
      </c>
      <c r="H209" s="36">
        <v>2000</v>
      </c>
      <c r="I209" s="47">
        <f t="shared" ref="I209:I210" si="700">H209*1.1</f>
        <v>2200</v>
      </c>
      <c r="J209" s="47">
        <f t="shared" ref="J209:J210" si="701">H209*0.9</f>
        <v>1800</v>
      </c>
      <c r="K209" s="68">
        <v>4.5</v>
      </c>
      <c r="L209" s="48" t="s">
        <v>32</v>
      </c>
      <c r="M209" s="49">
        <f t="shared" ref="M209:M210" si="702">IF(L209="Sec/100m",((K209)/60/100),(IF(L209="Km/h",60/K209/1000,(IF(L209="Min/km",K209/1000,"")))))</f>
        <v>4.4999999999999997E-3</v>
      </c>
      <c r="N209" s="50">
        <f t="shared" ref="N209:N210" si="703">H209*M209</f>
        <v>9</v>
      </c>
      <c r="O209" s="50">
        <f t="shared" ref="O209:O210" si="704">N209*1.25</f>
        <v>11.25</v>
      </c>
      <c r="P209" s="51">
        <f t="shared" ref="P209:P211" si="705">N209*1.4</f>
        <v>12.6</v>
      </c>
      <c r="Q209" s="50">
        <f>O205</f>
        <v>45</v>
      </c>
      <c r="R209" s="52">
        <f t="shared" ref="R209:R210" si="706">N209/M209</f>
        <v>2000.0000000000002</v>
      </c>
      <c r="S209" s="52">
        <f t="shared" ref="S209:S210" si="707">O209/M209</f>
        <v>2500</v>
      </c>
      <c r="T209" s="52">
        <f t="shared" ref="T209:T210" si="708">P209/M209</f>
        <v>2800</v>
      </c>
      <c r="U209" s="67">
        <f>(N209*0.5)/M209</f>
        <v>1000.0000000000001</v>
      </c>
      <c r="V209" s="45">
        <f ca="1">VLOOKUP(F209,AGE!F:J,4,FALSE)</f>
        <v>2007</v>
      </c>
      <c r="W209" s="45">
        <f ca="1">VLOOKUP(F209,AGE!F:J,5,FALSE)</f>
        <v>1920</v>
      </c>
      <c r="Y209" s="33">
        <f t="shared" si="557"/>
        <v>0</v>
      </c>
    </row>
    <row r="210" spans="1:25" x14ac:dyDescent="0.3">
      <c r="A210" s="33">
        <v>80</v>
      </c>
      <c r="B210" s="33">
        <v>50</v>
      </c>
      <c r="C210" s="33">
        <v>2</v>
      </c>
      <c r="D210" s="34" t="str">
        <f t="shared" ref="D210:D241" si="709">CONCATENATE(A210,B210,C210)</f>
        <v>80502</v>
      </c>
      <c r="E210" s="33" t="s">
        <v>12</v>
      </c>
      <c r="F210" s="44" t="s">
        <v>18</v>
      </c>
      <c r="G210" s="54" t="s">
        <v>37</v>
      </c>
      <c r="H210" s="36">
        <v>3000</v>
      </c>
      <c r="I210" s="47">
        <f t="shared" si="700"/>
        <v>3300.0000000000005</v>
      </c>
      <c r="J210" s="47">
        <f t="shared" si="701"/>
        <v>2700</v>
      </c>
      <c r="K210" s="68">
        <v>4.5</v>
      </c>
      <c r="L210" s="48" t="s">
        <v>32</v>
      </c>
      <c r="M210" s="49">
        <f t="shared" si="702"/>
        <v>4.4999999999999997E-3</v>
      </c>
      <c r="N210" s="50">
        <f t="shared" si="703"/>
        <v>13.499999999999998</v>
      </c>
      <c r="O210" s="50">
        <f t="shared" si="704"/>
        <v>16.874999999999996</v>
      </c>
      <c r="P210" s="51">
        <f t="shared" si="705"/>
        <v>18.899999999999995</v>
      </c>
      <c r="Q210" s="50">
        <f>O206</f>
        <v>70</v>
      </c>
      <c r="R210" s="52">
        <f t="shared" si="706"/>
        <v>3000</v>
      </c>
      <c r="S210" s="52">
        <f t="shared" si="707"/>
        <v>3749.9999999999995</v>
      </c>
      <c r="T210" s="52">
        <f t="shared" si="708"/>
        <v>4199.9999999999991</v>
      </c>
      <c r="U210" s="67">
        <f t="shared" ref="U210:U211" si="710">(N210*0.5)/M210</f>
        <v>1500</v>
      </c>
      <c r="V210" s="45">
        <f ca="1">VLOOKUP(F210,AGE!F:J,4,FALSE)</f>
        <v>2007</v>
      </c>
      <c r="W210" s="45">
        <f ca="1">VLOOKUP(F210,AGE!F:J,5,FALSE)</f>
        <v>1920</v>
      </c>
      <c r="Y210" s="33">
        <f t="shared" si="557"/>
        <v>0</v>
      </c>
    </row>
    <row r="211" spans="1:25" x14ac:dyDescent="0.3">
      <c r="A211" s="33">
        <v>80</v>
      </c>
      <c r="B211" s="33">
        <v>50</v>
      </c>
      <c r="C211" s="33">
        <v>3</v>
      </c>
      <c r="D211" s="34" t="str">
        <f t="shared" si="709"/>
        <v>80503</v>
      </c>
      <c r="E211" s="33" t="s">
        <v>12</v>
      </c>
      <c r="F211" s="44" t="s">
        <v>18</v>
      </c>
      <c r="G211" s="54" t="s">
        <v>10</v>
      </c>
      <c r="H211" s="36">
        <v>2000</v>
      </c>
      <c r="I211" s="47">
        <f t="shared" ref="I211" si="711">H211*1.1</f>
        <v>2200</v>
      </c>
      <c r="J211" s="47">
        <f t="shared" ref="J211" si="712">H211*0.9</f>
        <v>1800</v>
      </c>
      <c r="K211" s="68">
        <v>4.5</v>
      </c>
      <c r="L211" s="48" t="s">
        <v>32</v>
      </c>
      <c r="M211" s="49">
        <f t="shared" ref="M211:M212" si="713">IF(L211="Sec/100m",((K211)/60/100),(IF(L211="Km/h",60/K211/1000,(IF(L211="Min/km",K211/1000,"")))))</f>
        <v>4.4999999999999997E-3</v>
      </c>
      <c r="N211" s="50">
        <f t="shared" ref="N211" si="714">H211*M211</f>
        <v>9</v>
      </c>
      <c r="O211" s="50">
        <f t="shared" ref="O211" si="715">N211*1.25</f>
        <v>11.25</v>
      </c>
      <c r="P211" s="51">
        <f t="shared" si="705"/>
        <v>12.6</v>
      </c>
      <c r="Q211" s="50">
        <f>O207</f>
        <v>67.499999999999986</v>
      </c>
      <c r="R211" s="52">
        <f t="shared" ref="R211" si="716">N211/M211</f>
        <v>2000.0000000000002</v>
      </c>
      <c r="S211" s="52">
        <f t="shared" ref="S211" si="717">O211/M211</f>
        <v>2500</v>
      </c>
      <c r="T211" s="52">
        <f t="shared" ref="T211" si="718">P211/M211</f>
        <v>2800</v>
      </c>
      <c r="U211" s="67">
        <f t="shared" si="710"/>
        <v>1000.0000000000001</v>
      </c>
      <c r="V211" s="45">
        <f ca="1">VLOOKUP(F211,AGE!F:J,4,FALSE)</f>
        <v>2007</v>
      </c>
      <c r="W211" s="45">
        <f ca="1">VLOOKUP(F211,AGE!F:J,5,FALSE)</f>
        <v>1920</v>
      </c>
      <c r="Y211" s="33">
        <f t="shared" si="557"/>
        <v>0</v>
      </c>
    </row>
    <row r="212" spans="1:25" x14ac:dyDescent="0.3">
      <c r="A212" s="33">
        <v>80</v>
      </c>
      <c r="B212" s="33">
        <v>50</v>
      </c>
      <c r="C212" s="33">
        <v>4</v>
      </c>
      <c r="D212" s="34" t="str">
        <f t="shared" ref="D212:D220" si="719">CONCATENATE(A212,B212,C212)</f>
        <v>80504</v>
      </c>
      <c r="E212" s="33" t="s">
        <v>12</v>
      </c>
      <c r="F212" s="44" t="s">
        <v>18</v>
      </c>
      <c r="G212" s="109" t="s">
        <v>25</v>
      </c>
      <c r="H212" s="110">
        <f>+SUM(H209:H211)</f>
        <v>7000</v>
      </c>
      <c r="I212" s="57">
        <f t="shared" ref="I212" si="720">SUM(I209:I210)</f>
        <v>5500</v>
      </c>
      <c r="J212" s="57">
        <f t="shared" ref="J212" si="721">SUM(J209:J210)</f>
        <v>4500</v>
      </c>
      <c r="K212" s="57"/>
      <c r="L212" s="57"/>
      <c r="M212" s="49" t="str">
        <f t="shared" si="713"/>
        <v/>
      </c>
      <c r="N212" s="57">
        <f>SUM(N209:N210)</f>
        <v>22.5</v>
      </c>
      <c r="O212" s="57">
        <f t="shared" ref="O212" si="722">SUM(O209:O210)</f>
        <v>28.124999999999996</v>
      </c>
      <c r="P212" s="57"/>
      <c r="Q212" s="57">
        <f t="shared" ref="Q212" si="723">SUM(Q209:Q210)</f>
        <v>115</v>
      </c>
      <c r="R212" s="64">
        <f>SUM(R209:R211)</f>
        <v>7000</v>
      </c>
      <c r="S212" s="64">
        <f>SUM(S209:S211)</f>
        <v>8750</v>
      </c>
      <c r="T212" s="65"/>
      <c r="U212" s="66">
        <f>SUM(U209:U211)</f>
        <v>3500</v>
      </c>
      <c r="V212" s="45">
        <f ca="1">VLOOKUP(F212,AGE!F:J,4,FALSE)</f>
        <v>2007</v>
      </c>
      <c r="W212" s="45">
        <f ca="1">VLOOKUP(F212,AGE!F:J,5,FALSE)</f>
        <v>1920</v>
      </c>
      <c r="Y212" s="33">
        <f t="shared" si="557"/>
        <v>0</v>
      </c>
    </row>
    <row r="213" spans="1:25" x14ac:dyDescent="0.3">
      <c r="A213" s="33">
        <v>80</v>
      </c>
      <c r="B213" s="33">
        <v>60</v>
      </c>
      <c r="C213" s="33">
        <v>1</v>
      </c>
      <c r="D213" s="34" t="str">
        <f t="shared" si="719"/>
        <v>80601</v>
      </c>
      <c r="E213" s="33" t="s">
        <v>12</v>
      </c>
      <c r="F213" s="44" t="s">
        <v>19</v>
      </c>
      <c r="G213" s="54" t="s">
        <v>10</v>
      </c>
      <c r="H213" s="36">
        <v>4000</v>
      </c>
      <c r="I213" s="47">
        <f t="shared" ref="I213:I214" si="724">H213*1.1</f>
        <v>4400</v>
      </c>
      <c r="J213" s="47">
        <f t="shared" ref="J213" si="725">H213*0.9</f>
        <v>3600</v>
      </c>
      <c r="K213" s="68">
        <v>4.5</v>
      </c>
      <c r="L213" s="48" t="s">
        <v>32</v>
      </c>
      <c r="M213" s="49">
        <f t="shared" ref="M213" si="726">IF(L213="Sec/100m",((K213)/60/100),(IF(L213="Km/h",60/K213/1000,(IF(L213="Min/km",K213/1000,"")))))</f>
        <v>4.4999999999999997E-3</v>
      </c>
      <c r="N213" s="50">
        <f t="shared" ref="N213" si="727">H213*M213</f>
        <v>18</v>
      </c>
      <c r="O213" s="50">
        <f t="shared" ref="O213:O214" si="728">N213*1.25</f>
        <v>22.5</v>
      </c>
      <c r="P213" s="51">
        <f t="shared" ref="P213:P215" si="729">N213*1.4</f>
        <v>25.2</v>
      </c>
      <c r="Q213" s="50">
        <f>O209</f>
        <v>11.25</v>
      </c>
      <c r="R213" s="52">
        <f t="shared" ref="R213" si="730">N213/M213</f>
        <v>4000.0000000000005</v>
      </c>
      <c r="S213" s="52">
        <f t="shared" ref="S213" si="731">O213/M213</f>
        <v>5000</v>
      </c>
      <c r="T213" s="52">
        <f t="shared" ref="T213" si="732">P213/M213</f>
        <v>5600</v>
      </c>
      <c r="U213" s="67">
        <f>S209</f>
        <v>2500</v>
      </c>
      <c r="V213" s="45">
        <f ca="1">VLOOKUP(F213,AGE!F:J,4,FALSE)</f>
        <v>2003</v>
      </c>
      <c r="W213" s="45">
        <f ca="1">VLOOKUP(F213,AGE!F:J,5,FALSE)</f>
        <v>1920</v>
      </c>
      <c r="Y213" s="33">
        <f t="shared" si="557"/>
        <v>0</v>
      </c>
    </row>
    <row r="214" spans="1:25" x14ac:dyDescent="0.3">
      <c r="A214" s="33">
        <v>80</v>
      </c>
      <c r="B214" s="33">
        <v>60</v>
      </c>
      <c r="C214" s="33">
        <v>2</v>
      </c>
      <c r="D214" s="34" t="str">
        <f t="shared" si="719"/>
        <v>80602</v>
      </c>
      <c r="E214" s="33" t="s">
        <v>12</v>
      </c>
      <c r="F214" s="44" t="s">
        <v>19</v>
      </c>
      <c r="G214" s="54" t="s">
        <v>37</v>
      </c>
      <c r="H214" s="36">
        <v>6000</v>
      </c>
      <c r="I214" s="47">
        <f t="shared" si="724"/>
        <v>6600.0000000000009</v>
      </c>
      <c r="J214" s="47">
        <f t="shared" ref="J214" si="733">H214*0.9</f>
        <v>5400</v>
      </c>
      <c r="K214" s="68">
        <v>4.5</v>
      </c>
      <c r="L214" s="48" t="s">
        <v>32</v>
      </c>
      <c r="M214" s="49">
        <f t="shared" ref="M214" si="734">IF(L214="Sec/100m",((K214)/60/100),(IF(L214="Km/h",60/K214/1000,(IF(L214="Min/km",K214/1000,"")))))</f>
        <v>4.4999999999999997E-3</v>
      </c>
      <c r="N214" s="50">
        <f t="shared" ref="N214" si="735">H214*M214</f>
        <v>26.999999999999996</v>
      </c>
      <c r="O214" s="50">
        <f t="shared" si="728"/>
        <v>33.749999999999993</v>
      </c>
      <c r="P214" s="51">
        <f t="shared" si="729"/>
        <v>37.79999999999999</v>
      </c>
      <c r="Q214" s="50">
        <f>O210</f>
        <v>16.874999999999996</v>
      </c>
      <c r="R214" s="52">
        <f t="shared" ref="R214" si="736">N214/M214</f>
        <v>6000</v>
      </c>
      <c r="S214" s="52">
        <f t="shared" ref="S214" si="737">O214/M214</f>
        <v>7499.9999999999991</v>
      </c>
      <c r="T214" s="52">
        <f t="shared" ref="T214" si="738">P214/M214</f>
        <v>8399.9999999999982</v>
      </c>
      <c r="U214" s="67">
        <f>S210</f>
        <v>3749.9999999999995</v>
      </c>
      <c r="V214" s="45">
        <f ca="1">VLOOKUP(F214,AGE!F:J,4,FALSE)</f>
        <v>2003</v>
      </c>
      <c r="W214" s="45">
        <f ca="1">VLOOKUP(F214,AGE!F:J,5,FALSE)</f>
        <v>1920</v>
      </c>
      <c r="Y214" s="33">
        <f t="shared" si="557"/>
        <v>0</v>
      </c>
    </row>
    <row r="215" spans="1:25" x14ac:dyDescent="0.3">
      <c r="A215" s="33">
        <v>80</v>
      </c>
      <c r="B215" s="33">
        <v>60</v>
      </c>
      <c r="C215" s="33">
        <v>3</v>
      </c>
      <c r="D215" s="34" t="str">
        <f t="shared" si="719"/>
        <v>80603</v>
      </c>
      <c r="E215" s="33" t="s">
        <v>12</v>
      </c>
      <c r="F215" s="44" t="s">
        <v>19</v>
      </c>
      <c r="G215" s="54" t="s">
        <v>10</v>
      </c>
      <c r="H215" s="36">
        <v>4000</v>
      </c>
      <c r="I215" s="47">
        <f t="shared" ref="I215" si="739">H215*1.1</f>
        <v>4400</v>
      </c>
      <c r="J215" s="47">
        <f t="shared" ref="J215" si="740">H215*0.9</f>
        <v>3600</v>
      </c>
      <c r="K215" s="68">
        <v>4.5</v>
      </c>
      <c r="L215" s="48" t="s">
        <v>32</v>
      </c>
      <c r="M215" s="49">
        <f t="shared" ref="M215:M216" si="741">IF(L215="Sec/100m",((K215)/60/100),(IF(L215="Km/h",60/K215/1000,(IF(L215="Min/km",K215/1000,"")))))</f>
        <v>4.4999999999999997E-3</v>
      </c>
      <c r="N215" s="50">
        <f t="shared" ref="N215" si="742">H215*M215</f>
        <v>18</v>
      </c>
      <c r="O215" s="50">
        <f t="shared" ref="O215" si="743">N215*1.25</f>
        <v>22.5</v>
      </c>
      <c r="P215" s="51">
        <f t="shared" si="729"/>
        <v>25.2</v>
      </c>
      <c r="Q215" s="50">
        <f>O211</f>
        <v>11.25</v>
      </c>
      <c r="R215" s="52">
        <f t="shared" ref="R215" si="744">N215/M215</f>
        <v>4000.0000000000005</v>
      </c>
      <c r="S215" s="52">
        <f t="shared" ref="S215" si="745">O215/M215</f>
        <v>5000</v>
      </c>
      <c r="T215" s="52">
        <f t="shared" ref="T215" si="746">P215/M215</f>
        <v>5600</v>
      </c>
      <c r="U215" s="67">
        <f>S211</f>
        <v>2500</v>
      </c>
      <c r="V215" s="45">
        <f ca="1">VLOOKUP(F215,AGE!F:J,4,FALSE)</f>
        <v>2003</v>
      </c>
      <c r="W215" s="45">
        <f ca="1">VLOOKUP(F215,AGE!F:J,5,FALSE)</f>
        <v>1920</v>
      </c>
      <c r="Y215" s="33">
        <f t="shared" si="557"/>
        <v>0</v>
      </c>
    </row>
    <row r="216" spans="1:25" x14ac:dyDescent="0.3">
      <c r="A216" s="33">
        <v>80</v>
      </c>
      <c r="B216" s="33">
        <v>60</v>
      </c>
      <c r="C216" s="33">
        <v>4</v>
      </c>
      <c r="D216" s="34" t="str">
        <f t="shared" si="719"/>
        <v>80604</v>
      </c>
      <c r="E216" s="33" t="s">
        <v>12</v>
      </c>
      <c r="F216" s="44" t="s">
        <v>19</v>
      </c>
      <c r="G216" s="109" t="s">
        <v>25</v>
      </c>
      <c r="H216" s="110">
        <f>+SUM(H213:H215)</f>
        <v>14000</v>
      </c>
      <c r="I216" s="57">
        <f t="shared" ref="I216" si="747">SUM(I213:I214)</f>
        <v>11000</v>
      </c>
      <c r="J216" s="57">
        <f t="shared" ref="J216" si="748">SUM(J213:J214)</f>
        <v>9000</v>
      </c>
      <c r="K216" s="57"/>
      <c r="L216" s="57"/>
      <c r="M216" s="49" t="str">
        <f t="shared" si="741"/>
        <v/>
      </c>
      <c r="N216" s="57">
        <f>SUM(N213:N214)</f>
        <v>45</v>
      </c>
      <c r="O216" s="57">
        <f t="shared" ref="O216" si="749">SUM(O213:O214)</f>
        <v>56.249999999999993</v>
      </c>
      <c r="P216" s="57"/>
      <c r="Q216" s="57">
        <f t="shared" ref="Q216" si="750">SUM(Q213:Q214)</f>
        <v>28.124999999999996</v>
      </c>
      <c r="R216" s="64">
        <f>SUM(R213:R215)</f>
        <v>14000</v>
      </c>
      <c r="S216" s="64">
        <f>SUM(S213:S215)</f>
        <v>17500</v>
      </c>
      <c r="T216" s="65"/>
      <c r="U216" s="66">
        <f>SUM(U213:U215)</f>
        <v>8750</v>
      </c>
      <c r="V216" s="45">
        <f ca="1">VLOOKUP(F216,AGE!F:J,4,FALSE)</f>
        <v>2003</v>
      </c>
      <c r="W216" s="45">
        <f ca="1">VLOOKUP(F216,AGE!F:J,5,FALSE)</f>
        <v>1920</v>
      </c>
      <c r="Y216" s="33">
        <f t="shared" si="557"/>
        <v>0</v>
      </c>
    </row>
    <row r="217" spans="1:25" x14ac:dyDescent="0.3">
      <c r="A217" s="33">
        <v>80</v>
      </c>
      <c r="B217" s="33">
        <v>70</v>
      </c>
      <c r="C217" s="33">
        <v>1</v>
      </c>
      <c r="D217" s="34" t="str">
        <f t="shared" si="719"/>
        <v>80701</v>
      </c>
      <c r="E217" s="33" t="s">
        <v>12</v>
      </c>
      <c r="F217" s="44" t="s">
        <v>20</v>
      </c>
      <c r="G217" s="54" t="s">
        <v>10</v>
      </c>
      <c r="H217" s="36">
        <v>8000</v>
      </c>
      <c r="I217" s="47">
        <f t="shared" ref="I217:I218" si="751">H217*1.1</f>
        <v>8800</v>
      </c>
      <c r="J217" s="47">
        <f t="shared" ref="J217:J218" si="752">H217*0.9</f>
        <v>7200</v>
      </c>
      <c r="K217" s="68">
        <v>4.5</v>
      </c>
      <c r="L217" s="48" t="s">
        <v>32</v>
      </c>
      <c r="M217" s="49">
        <f t="shared" ref="M217:M218" si="753">IF(L217="Sec/100m",((K217)/60/100),(IF(L217="Km/h",60/K217/1000,(IF(L217="Min/km",K217/1000,"")))))</f>
        <v>4.4999999999999997E-3</v>
      </c>
      <c r="N217" s="50">
        <f t="shared" ref="N217:N218" si="754">H217*M217</f>
        <v>36</v>
      </c>
      <c r="O217" s="50">
        <f t="shared" ref="O217:O218" si="755">N217*1.25</f>
        <v>45</v>
      </c>
      <c r="P217" s="51">
        <f t="shared" ref="P217:P219" si="756">N217*1.4</f>
        <v>50.4</v>
      </c>
      <c r="Q217" s="50">
        <f>O213</f>
        <v>22.5</v>
      </c>
      <c r="R217" s="52">
        <f t="shared" ref="R217:R218" si="757">N217/M217</f>
        <v>8000.0000000000009</v>
      </c>
      <c r="S217" s="52">
        <f t="shared" ref="S217:S218" si="758">O217/M217</f>
        <v>10000</v>
      </c>
      <c r="T217" s="52">
        <f t="shared" ref="T217:T218" si="759">P217/M217</f>
        <v>11200</v>
      </c>
      <c r="U217" s="67">
        <f>S213</f>
        <v>5000</v>
      </c>
      <c r="V217" s="45">
        <f ca="1">VLOOKUP(F217,AGE!F:J,4,FALSE)</f>
        <v>2001</v>
      </c>
      <c r="W217" s="45">
        <f ca="1">VLOOKUP(F217,AGE!F:J,5,FALSE)</f>
        <v>1920</v>
      </c>
      <c r="Y217" s="33">
        <f t="shared" si="557"/>
        <v>0</v>
      </c>
    </row>
    <row r="218" spans="1:25" x14ac:dyDescent="0.3">
      <c r="A218" s="33">
        <v>80</v>
      </c>
      <c r="B218" s="33">
        <v>70</v>
      </c>
      <c r="C218" s="33">
        <v>2</v>
      </c>
      <c r="D218" s="34" t="str">
        <f t="shared" si="719"/>
        <v>80702</v>
      </c>
      <c r="E218" s="33" t="s">
        <v>12</v>
      </c>
      <c r="F218" s="44" t="s">
        <v>20</v>
      </c>
      <c r="G218" s="54" t="s">
        <v>37</v>
      </c>
      <c r="H218" s="36">
        <v>12000</v>
      </c>
      <c r="I218" s="47">
        <f t="shared" si="751"/>
        <v>13200.000000000002</v>
      </c>
      <c r="J218" s="47">
        <f t="shared" si="752"/>
        <v>10800</v>
      </c>
      <c r="K218" s="68">
        <v>4.5</v>
      </c>
      <c r="L218" s="48" t="s">
        <v>32</v>
      </c>
      <c r="M218" s="49">
        <f t="shared" si="753"/>
        <v>4.4999999999999997E-3</v>
      </c>
      <c r="N218" s="50">
        <f t="shared" si="754"/>
        <v>53.999999999999993</v>
      </c>
      <c r="O218" s="50">
        <f t="shared" si="755"/>
        <v>67.499999999999986</v>
      </c>
      <c r="P218" s="51">
        <f t="shared" si="756"/>
        <v>75.59999999999998</v>
      </c>
      <c r="Q218" s="50">
        <f>O214</f>
        <v>33.749999999999993</v>
      </c>
      <c r="R218" s="52">
        <f t="shared" si="757"/>
        <v>12000</v>
      </c>
      <c r="S218" s="52">
        <f t="shared" si="758"/>
        <v>14999.999999999998</v>
      </c>
      <c r="T218" s="52">
        <f t="shared" si="759"/>
        <v>16799.999999999996</v>
      </c>
      <c r="U218" s="67">
        <f>S214</f>
        <v>7499.9999999999991</v>
      </c>
      <c r="V218" s="45">
        <f ca="1">VLOOKUP(F218,AGE!F:J,4,FALSE)</f>
        <v>2001</v>
      </c>
      <c r="W218" s="45">
        <f ca="1">VLOOKUP(F218,AGE!F:J,5,FALSE)</f>
        <v>1920</v>
      </c>
      <c r="Y218" s="33">
        <f t="shared" si="557"/>
        <v>0</v>
      </c>
    </row>
    <row r="219" spans="1:25" x14ac:dyDescent="0.3">
      <c r="A219" s="33">
        <v>80</v>
      </c>
      <c r="B219" s="33">
        <v>70</v>
      </c>
      <c r="C219" s="33">
        <v>3</v>
      </c>
      <c r="D219" s="34" t="str">
        <f t="shared" si="719"/>
        <v>80703</v>
      </c>
      <c r="E219" s="33" t="s">
        <v>12</v>
      </c>
      <c r="F219" s="44" t="s">
        <v>20</v>
      </c>
      <c r="G219" s="54" t="s">
        <v>10</v>
      </c>
      <c r="H219" s="36">
        <v>8000</v>
      </c>
      <c r="I219" s="47">
        <f t="shared" ref="I219" si="760">H219*1.1</f>
        <v>8800</v>
      </c>
      <c r="J219" s="47">
        <f t="shared" ref="J219" si="761">H219*0.9</f>
        <v>7200</v>
      </c>
      <c r="K219" s="68">
        <v>4.5</v>
      </c>
      <c r="L219" s="48" t="s">
        <v>32</v>
      </c>
      <c r="M219" s="49">
        <f t="shared" ref="M219:M220" si="762">IF(L219="Sec/100m",((K219)/60/100),(IF(L219="Km/h",60/K219/1000,(IF(L219="Min/km",K219/1000,"")))))</f>
        <v>4.4999999999999997E-3</v>
      </c>
      <c r="N219" s="50">
        <f>H219*M219</f>
        <v>36</v>
      </c>
      <c r="O219" s="50">
        <f t="shared" ref="O219" si="763">N219*1.25</f>
        <v>45</v>
      </c>
      <c r="P219" s="51">
        <f t="shared" si="756"/>
        <v>50.4</v>
      </c>
      <c r="Q219" s="50">
        <f>O215</f>
        <v>22.5</v>
      </c>
      <c r="R219" s="52">
        <f t="shared" ref="R219" si="764">N219/M219</f>
        <v>8000.0000000000009</v>
      </c>
      <c r="S219" s="52">
        <f t="shared" ref="S219" si="765">O219/M219</f>
        <v>10000</v>
      </c>
      <c r="T219" s="52">
        <f t="shared" ref="T219" si="766">P219/M219</f>
        <v>11200</v>
      </c>
      <c r="U219" s="67">
        <f>S215</f>
        <v>5000</v>
      </c>
      <c r="V219" s="45">
        <f ca="1">VLOOKUP(F219,AGE!F:J,4,FALSE)</f>
        <v>2001</v>
      </c>
      <c r="W219" s="45">
        <f ca="1">VLOOKUP(F219,AGE!F:J,5,FALSE)</f>
        <v>1920</v>
      </c>
      <c r="Y219" s="33">
        <f t="shared" si="557"/>
        <v>0</v>
      </c>
    </row>
    <row r="220" spans="1:25" x14ac:dyDescent="0.3">
      <c r="A220" s="33">
        <v>80</v>
      </c>
      <c r="B220" s="33">
        <v>70</v>
      </c>
      <c r="C220" s="33">
        <v>4</v>
      </c>
      <c r="D220" s="34" t="str">
        <f t="shared" si="719"/>
        <v>80704</v>
      </c>
      <c r="E220" s="33" t="s">
        <v>12</v>
      </c>
      <c r="F220" s="44" t="s">
        <v>20</v>
      </c>
      <c r="G220" s="109" t="s">
        <v>25</v>
      </c>
      <c r="H220" s="110">
        <f>+SUM(H217:H219)</f>
        <v>28000</v>
      </c>
      <c r="I220" s="57">
        <f t="shared" ref="I220" si="767">SUM(I217:I218)</f>
        <v>22000</v>
      </c>
      <c r="J220" s="57">
        <f t="shared" ref="J220" si="768">SUM(J217:J218)</f>
        <v>18000</v>
      </c>
      <c r="K220" s="57"/>
      <c r="L220" s="57"/>
      <c r="M220" s="49" t="str">
        <f t="shared" si="762"/>
        <v/>
      </c>
      <c r="N220" s="57">
        <f>SUM(N217:N218)</f>
        <v>90</v>
      </c>
      <c r="O220" s="57">
        <f t="shared" ref="O220" si="769">SUM(O217:O218)</f>
        <v>112.49999999999999</v>
      </c>
      <c r="P220" s="57"/>
      <c r="Q220" s="57">
        <f t="shared" ref="Q220" si="770">SUM(Q217:Q218)</f>
        <v>56.249999999999993</v>
      </c>
      <c r="R220" s="64">
        <f>SUM(R217:R219)</f>
        <v>28000</v>
      </c>
      <c r="S220" s="64">
        <f>SUM(S217:S219)</f>
        <v>35000</v>
      </c>
      <c r="T220" s="65"/>
      <c r="U220" s="66">
        <f>SUM(U217:U219)</f>
        <v>17500</v>
      </c>
      <c r="V220" s="45">
        <f ca="1">VLOOKUP(F220,AGE!F:J,4,FALSE)</f>
        <v>2001</v>
      </c>
      <c r="W220" s="45">
        <f ca="1">VLOOKUP(F220,AGE!F:J,5,FALSE)</f>
        <v>1920</v>
      </c>
      <c r="Y220" s="33">
        <f t="shared" si="557"/>
        <v>0</v>
      </c>
    </row>
    <row r="221" spans="1:25" x14ac:dyDescent="0.3">
      <c r="A221" s="33">
        <v>90</v>
      </c>
      <c r="B221" s="33">
        <v>10</v>
      </c>
      <c r="C221" s="33">
        <v>1</v>
      </c>
      <c r="D221" s="34" t="str">
        <f t="shared" si="709"/>
        <v>90101</v>
      </c>
      <c r="E221" s="33" t="s">
        <v>7</v>
      </c>
      <c r="F221" s="44" t="s">
        <v>14</v>
      </c>
      <c r="G221" s="54" t="s">
        <v>7</v>
      </c>
      <c r="N221" s="34">
        <f>(O221+Q221)/2</f>
        <v>90</v>
      </c>
      <c r="O221" s="34">
        <v>120</v>
      </c>
      <c r="Q221" s="34">
        <f>+O221/2</f>
        <v>60</v>
      </c>
      <c r="V221" s="45">
        <f ca="1">VLOOKUP(F221,AGE!F:J,4,FALSE)</f>
        <v>2013</v>
      </c>
      <c r="W221" s="45">
        <f ca="1">VLOOKUP(F221,AGE!F:J,5,FALSE)</f>
        <v>2010</v>
      </c>
      <c r="Y221" s="33">
        <f t="shared" si="557"/>
        <v>0</v>
      </c>
    </row>
    <row r="222" spans="1:25" x14ac:dyDescent="0.3">
      <c r="A222" s="33">
        <v>90</v>
      </c>
      <c r="B222" s="33">
        <v>20</v>
      </c>
      <c r="C222" s="33">
        <v>1</v>
      </c>
      <c r="D222" s="34" t="str">
        <f t="shared" si="709"/>
        <v>90201</v>
      </c>
      <c r="E222" s="33" t="s">
        <v>7</v>
      </c>
      <c r="F222" s="44" t="s">
        <v>15</v>
      </c>
      <c r="G222" s="54" t="s">
        <v>7</v>
      </c>
      <c r="N222" s="34">
        <f t="shared" ref="N222:N230" si="771">(O222+Q222)/2</f>
        <v>150</v>
      </c>
      <c r="O222" s="34">
        <v>180</v>
      </c>
      <c r="Q222" s="34">
        <v>120</v>
      </c>
      <c r="V222" s="45">
        <f ca="1">VLOOKUP(F222,AGE!F:J,4,FALSE)</f>
        <v>2011</v>
      </c>
      <c r="W222" s="45">
        <f ca="1">VLOOKUP(F222,AGE!F:J,5,FALSE)</f>
        <v>2008</v>
      </c>
      <c r="Y222" s="33">
        <f t="shared" si="557"/>
        <v>0</v>
      </c>
    </row>
    <row r="223" spans="1:25" x14ac:dyDescent="0.3">
      <c r="A223" s="33">
        <v>90</v>
      </c>
      <c r="B223" s="33">
        <v>30</v>
      </c>
      <c r="C223" s="33">
        <v>1</v>
      </c>
      <c r="D223" s="34" t="str">
        <f t="shared" si="709"/>
        <v>90301</v>
      </c>
      <c r="E223" s="33" t="s">
        <v>7</v>
      </c>
      <c r="F223" s="44" t="s">
        <v>79</v>
      </c>
      <c r="G223" s="54" t="s">
        <v>7</v>
      </c>
      <c r="N223" s="34">
        <f t="shared" si="771"/>
        <v>210</v>
      </c>
      <c r="O223" s="34">
        <f>+O222+60</f>
        <v>240</v>
      </c>
      <c r="Q223" s="34">
        <f>+O222</f>
        <v>180</v>
      </c>
      <c r="V223" s="45">
        <f ca="1">VLOOKUP(F223,AGE!F:J,4,FALSE)</f>
        <v>2009</v>
      </c>
      <c r="W223" s="45">
        <f ca="1">VLOOKUP(F223,AGE!F:J,5,FALSE)</f>
        <v>2006</v>
      </c>
      <c r="Y223" s="33">
        <f t="shared" ref="Y223:Y242" si="772">IF(U223&gt;R223,"Attention dist basse assimilée &gt; distance officielle",)</f>
        <v>0</v>
      </c>
    </row>
    <row r="224" spans="1:25" x14ac:dyDescent="0.3">
      <c r="A224" s="33">
        <v>90</v>
      </c>
      <c r="B224" s="33">
        <v>40</v>
      </c>
      <c r="C224" s="33">
        <v>1</v>
      </c>
      <c r="D224" s="34" t="str">
        <f t="shared" si="709"/>
        <v>90401</v>
      </c>
      <c r="E224" s="33" t="s">
        <v>7</v>
      </c>
      <c r="F224" s="44" t="s">
        <v>17</v>
      </c>
      <c r="G224" s="54" t="s">
        <v>7</v>
      </c>
      <c r="N224" s="34">
        <f t="shared" si="771"/>
        <v>270</v>
      </c>
      <c r="O224" s="34">
        <f t="shared" ref="O224:O225" si="773">+O223+60</f>
        <v>300</v>
      </c>
      <c r="Q224" s="34">
        <f>+O223</f>
        <v>240</v>
      </c>
      <c r="V224" s="45">
        <f ca="1">VLOOKUP(F224,AGE!F:J,4,FALSE)</f>
        <v>2007</v>
      </c>
      <c r="W224" s="45">
        <f ca="1">VLOOKUP(F224,AGE!F:J,5,FALSE)</f>
        <v>2000</v>
      </c>
      <c r="Y224" s="33">
        <f t="shared" si="772"/>
        <v>0</v>
      </c>
    </row>
    <row r="225" spans="1:25" x14ac:dyDescent="0.3">
      <c r="A225" s="33">
        <v>90</v>
      </c>
      <c r="B225" s="33">
        <v>50</v>
      </c>
      <c r="C225" s="33">
        <v>1</v>
      </c>
      <c r="D225" s="34" t="str">
        <f t="shared" si="709"/>
        <v>90501</v>
      </c>
      <c r="E225" s="33" t="s">
        <v>7</v>
      </c>
      <c r="F225" s="44" t="s">
        <v>18</v>
      </c>
      <c r="G225" s="54" t="s">
        <v>7</v>
      </c>
      <c r="N225" s="34">
        <f t="shared" si="771"/>
        <v>330</v>
      </c>
      <c r="O225" s="34">
        <f t="shared" si="773"/>
        <v>360</v>
      </c>
      <c r="Q225" s="34">
        <f>5*60</f>
        <v>300</v>
      </c>
      <c r="V225" s="45">
        <f ca="1">VLOOKUP(F225,AGE!F:J,4,FALSE)</f>
        <v>2007</v>
      </c>
      <c r="W225" s="45">
        <f ca="1">VLOOKUP(F225,AGE!F:J,5,FALSE)</f>
        <v>1920</v>
      </c>
      <c r="Y225" s="33">
        <f t="shared" si="772"/>
        <v>0</v>
      </c>
    </row>
    <row r="226" spans="1:25" x14ac:dyDescent="0.3">
      <c r="A226" s="33">
        <v>90</v>
      </c>
      <c r="B226" s="33">
        <v>60</v>
      </c>
      <c r="C226" s="33">
        <v>1</v>
      </c>
      <c r="D226" s="34" t="str">
        <f t="shared" si="709"/>
        <v>90601</v>
      </c>
      <c r="E226" s="33" t="s">
        <v>7</v>
      </c>
      <c r="F226" s="44" t="s">
        <v>19</v>
      </c>
      <c r="G226" s="54" t="s">
        <v>7</v>
      </c>
      <c r="N226" s="34">
        <f t="shared" si="771"/>
        <v>360</v>
      </c>
      <c r="O226" s="34">
        <f>Q227</f>
        <v>420</v>
      </c>
      <c r="Q226" s="34">
        <f>5*60</f>
        <v>300</v>
      </c>
      <c r="V226" s="45">
        <f ca="1">VLOOKUP(F226,AGE!F:J,4,FALSE)</f>
        <v>2003</v>
      </c>
      <c r="W226" s="45">
        <f ca="1">VLOOKUP(F226,AGE!F:J,5,FALSE)</f>
        <v>1920</v>
      </c>
      <c r="Y226" s="33">
        <f t="shared" si="772"/>
        <v>0</v>
      </c>
    </row>
    <row r="227" spans="1:25" x14ac:dyDescent="0.3">
      <c r="A227" s="33">
        <v>90</v>
      </c>
      <c r="B227" s="33">
        <v>70</v>
      </c>
      <c r="C227" s="33">
        <v>1</v>
      </c>
      <c r="D227" s="34" t="str">
        <f t="shared" si="709"/>
        <v>90701</v>
      </c>
      <c r="E227" s="33" t="s">
        <v>7</v>
      </c>
      <c r="F227" s="44" t="s">
        <v>20</v>
      </c>
      <c r="G227" s="54" t="s">
        <v>7</v>
      </c>
      <c r="N227" s="34">
        <f t="shared" si="771"/>
        <v>570</v>
      </c>
      <c r="O227" s="34">
        <f t="shared" ref="O227:O229" si="774">Q228</f>
        <v>720</v>
      </c>
      <c r="Q227" s="34">
        <f>7*60</f>
        <v>420</v>
      </c>
      <c r="V227" s="45">
        <f ca="1">VLOOKUP(F227,AGE!F:J,4,FALSE)</f>
        <v>2001</v>
      </c>
      <c r="W227" s="45">
        <f ca="1">VLOOKUP(F227,AGE!F:J,5,FALSE)</f>
        <v>1920</v>
      </c>
      <c r="Y227" s="33">
        <f t="shared" si="772"/>
        <v>0</v>
      </c>
    </row>
    <row r="228" spans="1:25" x14ac:dyDescent="0.3">
      <c r="A228" s="33">
        <v>90</v>
      </c>
      <c r="B228" s="33">
        <v>80</v>
      </c>
      <c r="C228" s="33">
        <v>1</v>
      </c>
      <c r="D228" s="34" t="str">
        <f t="shared" si="709"/>
        <v>90801</v>
      </c>
      <c r="E228" s="33" t="s">
        <v>7</v>
      </c>
      <c r="F228" s="44" t="s">
        <v>21</v>
      </c>
      <c r="G228" s="54" t="s">
        <v>7</v>
      </c>
      <c r="N228" s="34">
        <f t="shared" si="771"/>
        <v>1080</v>
      </c>
      <c r="O228" s="34">
        <f t="shared" si="774"/>
        <v>1440</v>
      </c>
      <c r="Q228" s="34">
        <f>12*60</f>
        <v>720</v>
      </c>
      <c r="V228" s="45">
        <f ca="1">VLOOKUP(F228,AGE!F:J,4,FALSE)</f>
        <v>2001</v>
      </c>
      <c r="W228" s="45">
        <f ca="1">VLOOKUP(F228,AGE!F:J,5,FALSE)</f>
        <v>1920</v>
      </c>
      <c r="Y228" s="33">
        <f t="shared" si="772"/>
        <v>0</v>
      </c>
    </row>
    <row r="229" spans="1:25" x14ac:dyDescent="0.3">
      <c r="A229" s="33">
        <v>90</v>
      </c>
      <c r="B229" s="33">
        <v>90</v>
      </c>
      <c r="C229" s="33">
        <v>1</v>
      </c>
      <c r="D229" s="34" t="str">
        <f t="shared" si="709"/>
        <v>90901</v>
      </c>
      <c r="E229" s="33" t="s">
        <v>7</v>
      </c>
      <c r="F229" s="44" t="s">
        <v>22</v>
      </c>
      <c r="G229" s="54" t="s">
        <v>7</v>
      </c>
      <c r="N229" s="34">
        <f t="shared" si="771"/>
        <v>1800</v>
      </c>
      <c r="O229" s="34">
        <f t="shared" si="774"/>
        <v>2160</v>
      </c>
      <c r="Q229" s="34">
        <f>24*60</f>
        <v>1440</v>
      </c>
      <c r="V229" s="45">
        <f ca="1">VLOOKUP(F229,AGE!F:J,4,FALSE)</f>
        <v>2001</v>
      </c>
      <c r="W229" s="45">
        <f ca="1">VLOOKUP(F229,AGE!F:J,5,FALSE)</f>
        <v>1920</v>
      </c>
      <c r="Y229" s="33">
        <f t="shared" si="772"/>
        <v>0</v>
      </c>
    </row>
    <row r="230" spans="1:25" x14ac:dyDescent="0.3">
      <c r="A230" s="33">
        <v>90</v>
      </c>
      <c r="B230" s="33">
        <v>91</v>
      </c>
      <c r="C230" s="33">
        <v>1</v>
      </c>
      <c r="D230" s="34" t="str">
        <f t="shared" si="709"/>
        <v>90911</v>
      </c>
      <c r="E230" s="33" t="s">
        <v>7</v>
      </c>
      <c r="F230" s="44" t="s">
        <v>38</v>
      </c>
      <c r="G230" s="54" t="s">
        <v>7</v>
      </c>
      <c r="N230" s="34">
        <f t="shared" si="771"/>
        <v>2330</v>
      </c>
      <c r="O230" s="111">
        <v>2500</v>
      </c>
      <c r="Q230" s="34">
        <f>36*60</f>
        <v>2160</v>
      </c>
      <c r="V230" s="45">
        <f ca="1">VLOOKUP(F230,AGE!F:J,4,FALSE)</f>
        <v>2001</v>
      </c>
      <c r="W230" s="45">
        <f ca="1">VLOOKUP(F230,AGE!F:J,5,FALSE)</f>
        <v>1920</v>
      </c>
      <c r="Y230" s="33">
        <f t="shared" si="772"/>
        <v>0</v>
      </c>
    </row>
    <row r="231" spans="1:25" x14ac:dyDescent="0.3">
      <c r="A231" s="33">
        <v>91</v>
      </c>
      <c r="B231" s="33">
        <v>50</v>
      </c>
      <c r="C231" s="33">
        <v>1</v>
      </c>
      <c r="D231" s="34" t="str">
        <f t="shared" si="709"/>
        <v>91501</v>
      </c>
      <c r="E231" s="33" t="s">
        <v>23</v>
      </c>
      <c r="F231" s="44" t="s">
        <v>18</v>
      </c>
      <c r="G231" s="54" t="s">
        <v>23</v>
      </c>
      <c r="H231" s="69">
        <f>(I231+J231)/2</f>
        <v>3500</v>
      </c>
      <c r="I231" s="63">
        <v>5000</v>
      </c>
      <c r="J231" s="63">
        <v>2000</v>
      </c>
      <c r="K231" s="47">
        <v>105</v>
      </c>
      <c r="L231" s="48" t="s">
        <v>31</v>
      </c>
      <c r="M231" s="49">
        <f t="shared" ref="M231:M241" si="775">IF(L231="Sec/100m",((K231)/60/100),(IF(L231="Km/h",60/K231/1000,(IF(L231="Min/km",K231/1000,"")))))</f>
        <v>1.7500000000000002E-2</v>
      </c>
      <c r="N231" s="50">
        <f t="shared" ref="N231:N241" si="776">H231*M231</f>
        <v>61.250000000000007</v>
      </c>
      <c r="O231" s="50">
        <f t="shared" ref="O231:O241" si="777">N231*1.25</f>
        <v>76.562500000000014</v>
      </c>
      <c r="P231" s="51"/>
      <c r="Q231" s="50">
        <f>O231/2</f>
        <v>38.281250000000007</v>
      </c>
      <c r="R231" s="52">
        <f t="shared" ref="R231:R241" si="778">N231/M231</f>
        <v>3500</v>
      </c>
      <c r="S231" s="52"/>
      <c r="T231" s="52"/>
      <c r="U231" s="52"/>
      <c r="V231" s="45">
        <f ca="1">VLOOKUP(F231,AGE!F:J,4,FALSE)</f>
        <v>2007</v>
      </c>
      <c r="W231" s="45">
        <f ca="1">VLOOKUP(F231,AGE!F:J,5,FALSE)</f>
        <v>1920</v>
      </c>
      <c r="Y231" s="33">
        <f t="shared" si="772"/>
        <v>0</v>
      </c>
    </row>
    <row r="232" spans="1:25" x14ac:dyDescent="0.3">
      <c r="A232" s="33">
        <v>91</v>
      </c>
      <c r="B232" s="33">
        <v>50</v>
      </c>
      <c r="C232" s="33">
        <v>4</v>
      </c>
      <c r="D232" s="34" t="str">
        <f t="shared" ref="D232" si="779">CONCATENATE(A232,B232,C232)</f>
        <v>91504</v>
      </c>
      <c r="E232" s="33" t="s">
        <v>23</v>
      </c>
      <c r="F232" s="44" t="s">
        <v>18</v>
      </c>
      <c r="G232" s="54" t="s">
        <v>23</v>
      </c>
      <c r="H232" s="69">
        <f>(I232+J232)/2</f>
        <v>3500</v>
      </c>
      <c r="I232" s="63">
        <v>5000</v>
      </c>
      <c r="J232" s="63">
        <v>2000</v>
      </c>
      <c r="K232" s="47">
        <v>105</v>
      </c>
      <c r="L232" s="48" t="s">
        <v>31</v>
      </c>
      <c r="M232" s="49">
        <f t="shared" ref="M232" si="780">IF(L232="Sec/100m",((K232)/60/100),(IF(L232="Km/h",60/K232/1000,(IF(L232="Min/km",K232/1000,"")))))</f>
        <v>1.7500000000000002E-2</v>
      </c>
      <c r="N232" s="50">
        <f t="shared" ref="N232" si="781">H232*M232</f>
        <v>61.250000000000007</v>
      </c>
      <c r="O232" s="50">
        <f t="shared" ref="O232" si="782">N232*1.25</f>
        <v>76.562500000000014</v>
      </c>
      <c r="P232" s="51"/>
      <c r="Q232" s="50">
        <f>O232/2</f>
        <v>38.281250000000007</v>
      </c>
      <c r="R232" s="52">
        <f>N232/M232</f>
        <v>3500</v>
      </c>
      <c r="S232" s="52"/>
      <c r="T232" s="52"/>
      <c r="U232" s="52"/>
      <c r="V232" s="45">
        <f ca="1">VLOOKUP(F232,AGE!F:J,4,FALSE)</f>
        <v>2007</v>
      </c>
      <c r="W232" s="45">
        <f ca="1">VLOOKUP(F232,AGE!F:J,5,FALSE)</f>
        <v>1920</v>
      </c>
      <c r="Y232" s="33">
        <f t="shared" si="772"/>
        <v>0</v>
      </c>
    </row>
    <row r="233" spans="1:25" x14ac:dyDescent="0.3">
      <c r="A233" s="33">
        <v>91</v>
      </c>
      <c r="B233" s="33">
        <v>60</v>
      </c>
      <c r="C233" s="33">
        <v>1</v>
      </c>
      <c r="D233" s="34" t="str">
        <f t="shared" si="709"/>
        <v>91601</v>
      </c>
      <c r="E233" s="33" t="s">
        <v>23</v>
      </c>
      <c r="F233" s="44" t="s">
        <v>19</v>
      </c>
      <c r="G233" s="54" t="s">
        <v>23</v>
      </c>
      <c r="H233" s="69">
        <f t="shared" ref="H233:H241" si="783">(I233+J233)/2</f>
        <v>8750</v>
      </c>
      <c r="I233" s="63">
        <v>12500</v>
      </c>
      <c r="J233" s="63">
        <v>5000</v>
      </c>
      <c r="K233" s="47">
        <v>105</v>
      </c>
      <c r="L233" s="48" t="s">
        <v>31</v>
      </c>
      <c r="M233" s="49">
        <f t="shared" si="775"/>
        <v>1.7500000000000002E-2</v>
      </c>
      <c r="N233" s="50">
        <f t="shared" si="776"/>
        <v>153.12500000000003</v>
      </c>
      <c r="O233" s="50">
        <f t="shared" si="777"/>
        <v>191.40625000000003</v>
      </c>
      <c r="P233" s="51"/>
      <c r="Q233" s="50">
        <f>O231+1</f>
        <v>77.562500000000014</v>
      </c>
      <c r="R233" s="52">
        <f t="shared" si="778"/>
        <v>8750</v>
      </c>
      <c r="S233" s="52"/>
      <c r="T233" s="52"/>
      <c r="U233" s="52"/>
      <c r="V233" s="45">
        <f ca="1">VLOOKUP(F233,AGE!F:J,4,FALSE)</f>
        <v>2003</v>
      </c>
      <c r="W233" s="45">
        <f ca="1">VLOOKUP(F233,AGE!F:J,5,FALSE)</f>
        <v>1920</v>
      </c>
      <c r="Y233" s="33">
        <f t="shared" si="772"/>
        <v>0</v>
      </c>
    </row>
    <row r="234" spans="1:25" x14ac:dyDescent="0.3">
      <c r="A234" s="33">
        <v>91</v>
      </c>
      <c r="B234" s="33">
        <v>60</v>
      </c>
      <c r="C234" s="33">
        <v>4</v>
      </c>
      <c r="D234" s="34" t="str">
        <f t="shared" ref="D234" si="784">CONCATENATE(A234,B234,C234)</f>
        <v>91604</v>
      </c>
      <c r="E234" s="33" t="s">
        <v>23</v>
      </c>
      <c r="F234" s="44" t="s">
        <v>19</v>
      </c>
      <c r="G234" s="54" t="s">
        <v>23</v>
      </c>
      <c r="H234" s="69">
        <f t="shared" ref="H234" si="785">(I234+J234)/2</f>
        <v>8750</v>
      </c>
      <c r="I234" s="63">
        <v>12500</v>
      </c>
      <c r="J234" s="63">
        <v>5000</v>
      </c>
      <c r="K234" s="47">
        <v>105</v>
      </c>
      <c r="L234" s="48" t="s">
        <v>31</v>
      </c>
      <c r="M234" s="49">
        <f t="shared" ref="M234" si="786">IF(L234="Sec/100m",((K234)/60/100),(IF(L234="Km/h",60/K234/1000,(IF(L234="Min/km",K234/1000,"")))))</f>
        <v>1.7500000000000002E-2</v>
      </c>
      <c r="N234" s="50">
        <f t="shared" ref="N234" si="787">H234*M234</f>
        <v>153.12500000000003</v>
      </c>
      <c r="O234" s="50">
        <f t="shared" ref="O234" si="788">N234*1.25</f>
        <v>191.40625000000003</v>
      </c>
      <c r="P234" s="51"/>
      <c r="Q234" s="50">
        <f t="shared" ref="Q234:Q242" si="789">O232+1</f>
        <v>77.562500000000014</v>
      </c>
      <c r="R234" s="52">
        <f t="shared" ref="R234" si="790">N234/M234</f>
        <v>8750</v>
      </c>
      <c r="S234" s="52"/>
      <c r="T234" s="52"/>
      <c r="U234" s="52"/>
      <c r="V234" s="45">
        <f ca="1">VLOOKUP(F234,AGE!F:J,4,FALSE)</f>
        <v>2003</v>
      </c>
      <c r="W234" s="45">
        <f ca="1">VLOOKUP(F234,AGE!F:J,5,FALSE)</f>
        <v>1920</v>
      </c>
      <c r="Y234" s="33">
        <f t="shared" si="772"/>
        <v>0</v>
      </c>
    </row>
    <row r="235" spans="1:25" x14ac:dyDescent="0.3">
      <c r="A235" s="33">
        <v>91</v>
      </c>
      <c r="B235" s="33">
        <v>70</v>
      </c>
      <c r="C235" s="33">
        <v>1</v>
      </c>
      <c r="D235" s="34" t="str">
        <f t="shared" si="709"/>
        <v>91701</v>
      </c>
      <c r="E235" s="33" t="s">
        <v>23</v>
      </c>
      <c r="F235" s="44" t="s">
        <v>20</v>
      </c>
      <c r="G235" s="54" t="s">
        <v>23</v>
      </c>
      <c r="H235" s="69">
        <f t="shared" si="783"/>
        <v>16250</v>
      </c>
      <c r="I235" s="63">
        <v>20000</v>
      </c>
      <c r="J235" s="63">
        <v>12500</v>
      </c>
      <c r="K235" s="47">
        <v>105</v>
      </c>
      <c r="L235" s="48" t="s">
        <v>31</v>
      </c>
      <c r="M235" s="49">
        <f t="shared" si="775"/>
        <v>1.7500000000000002E-2</v>
      </c>
      <c r="N235" s="50">
        <f t="shared" si="776"/>
        <v>284.375</v>
      </c>
      <c r="O235" s="50">
        <f t="shared" si="777"/>
        <v>355.46875</v>
      </c>
      <c r="P235" s="51"/>
      <c r="Q235" s="50">
        <f t="shared" si="789"/>
        <v>192.40625000000003</v>
      </c>
      <c r="R235" s="52">
        <f t="shared" si="778"/>
        <v>16249.999999999998</v>
      </c>
      <c r="S235" s="52"/>
      <c r="T235" s="52"/>
      <c r="U235" s="52"/>
      <c r="V235" s="45">
        <f ca="1">VLOOKUP(F235,AGE!F:J,4,FALSE)</f>
        <v>2001</v>
      </c>
      <c r="W235" s="45">
        <f ca="1">VLOOKUP(F235,AGE!F:J,5,FALSE)</f>
        <v>1920</v>
      </c>
      <c r="Y235" s="33">
        <f t="shared" si="772"/>
        <v>0</v>
      </c>
    </row>
    <row r="236" spans="1:25" x14ac:dyDescent="0.3">
      <c r="A236" s="33">
        <v>91</v>
      </c>
      <c r="B236" s="33">
        <v>70</v>
      </c>
      <c r="C236" s="33">
        <v>4</v>
      </c>
      <c r="D236" s="34" t="str">
        <f t="shared" ref="D236" si="791">CONCATENATE(A236,B236,C236)</f>
        <v>91704</v>
      </c>
      <c r="E236" s="33" t="s">
        <v>23</v>
      </c>
      <c r="F236" s="44" t="s">
        <v>20</v>
      </c>
      <c r="G236" s="54" t="s">
        <v>23</v>
      </c>
      <c r="H236" s="69">
        <f t="shared" ref="H236" si="792">(I236+J236)/2</f>
        <v>16250</v>
      </c>
      <c r="I236" s="63">
        <v>20000</v>
      </c>
      <c r="J236" s="63">
        <v>12500</v>
      </c>
      <c r="K236" s="47">
        <v>105</v>
      </c>
      <c r="L236" s="48" t="s">
        <v>31</v>
      </c>
      <c r="M236" s="49">
        <f t="shared" ref="M236" si="793">IF(L236="Sec/100m",((K236)/60/100),(IF(L236="Km/h",60/K236/1000,(IF(L236="Min/km",K236/1000,"")))))</f>
        <v>1.7500000000000002E-2</v>
      </c>
      <c r="N236" s="50">
        <f t="shared" ref="N236" si="794">H236*M236</f>
        <v>284.375</v>
      </c>
      <c r="O236" s="50">
        <f t="shared" ref="O236" si="795">N236*1.25</f>
        <v>355.46875</v>
      </c>
      <c r="P236" s="51"/>
      <c r="Q236" s="50">
        <f t="shared" si="789"/>
        <v>192.40625000000003</v>
      </c>
      <c r="R236" s="52">
        <f t="shared" ref="R236" si="796">N236/M236</f>
        <v>16249.999999999998</v>
      </c>
      <c r="S236" s="52"/>
      <c r="T236" s="52"/>
      <c r="U236" s="52"/>
      <c r="V236" s="45">
        <f ca="1">VLOOKUP(F236,AGE!F:J,4,FALSE)</f>
        <v>2001</v>
      </c>
      <c r="W236" s="45">
        <f ca="1">VLOOKUP(F236,AGE!F:J,5,FALSE)</f>
        <v>1920</v>
      </c>
      <c r="Y236" s="33">
        <f t="shared" si="772"/>
        <v>0</v>
      </c>
    </row>
    <row r="237" spans="1:25" x14ac:dyDescent="0.3">
      <c r="A237" s="33">
        <v>91</v>
      </c>
      <c r="B237" s="33">
        <v>80</v>
      </c>
      <c r="C237" s="33">
        <v>1</v>
      </c>
      <c r="D237" s="34" t="str">
        <f t="shared" si="709"/>
        <v>91801</v>
      </c>
      <c r="E237" s="33" t="s">
        <v>23</v>
      </c>
      <c r="F237" s="44" t="s">
        <v>21</v>
      </c>
      <c r="G237" s="54" t="s">
        <v>23</v>
      </c>
      <c r="H237" s="69">
        <f t="shared" si="783"/>
        <v>27500</v>
      </c>
      <c r="I237" s="63">
        <v>35000</v>
      </c>
      <c r="J237" s="63">
        <v>20000</v>
      </c>
      <c r="K237" s="47">
        <v>105</v>
      </c>
      <c r="L237" s="48" t="s">
        <v>31</v>
      </c>
      <c r="M237" s="49">
        <f t="shared" si="775"/>
        <v>1.7500000000000002E-2</v>
      </c>
      <c r="N237" s="50">
        <f t="shared" si="776"/>
        <v>481.25000000000006</v>
      </c>
      <c r="O237" s="50">
        <f t="shared" si="777"/>
        <v>601.56250000000011</v>
      </c>
      <c r="P237" s="51"/>
      <c r="Q237" s="50">
        <f t="shared" si="789"/>
        <v>356.46875</v>
      </c>
      <c r="R237" s="52">
        <f t="shared" si="778"/>
        <v>27500</v>
      </c>
      <c r="S237" s="52"/>
      <c r="T237" s="52"/>
      <c r="U237" s="52"/>
      <c r="V237" s="45">
        <f ca="1">VLOOKUP(F237,AGE!F:J,4,FALSE)</f>
        <v>2001</v>
      </c>
      <c r="W237" s="45">
        <f ca="1">VLOOKUP(F237,AGE!F:J,5,FALSE)</f>
        <v>1920</v>
      </c>
      <c r="Y237" s="33">
        <f t="shared" si="772"/>
        <v>0</v>
      </c>
    </row>
    <row r="238" spans="1:25" x14ac:dyDescent="0.3">
      <c r="A238" s="33">
        <v>91</v>
      </c>
      <c r="B238" s="33">
        <v>80</v>
      </c>
      <c r="C238" s="33">
        <v>4</v>
      </c>
      <c r="D238" s="34" t="str">
        <f t="shared" ref="D238" si="797">CONCATENATE(A238,B238,C238)</f>
        <v>91804</v>
      </c>
      <c r="E238" s="33" t="s">
        <v>23</v>
      </c>
      <c r="F238" s="44" t="s">
        <v>21</v>
      </c>
      <c r="G238" s="54" t="s">
        <v>23</v>
      </c>
      <c r="H238" s="69">
        <f t="shared" ref="H238" si="798">(I238+J238)/2</f>
        <v>27500</v>
      </c>
      <c r="I238" s="63">
        <v>35000</v>
      </c>
      <c r="J238" s="63">
        <v>20000</v>
      </c>
      <c r="K238" s="47">
        <v>105</v>
      </c>
      <c r="L238" s="48" t="s">
        <v>31</v>
      </c>
      <c r="M238" s="49">
        <f t="shared" ref="M238" si="799">IF(L238="Sec/100m",((K238)/60/100),(IF(L238="Km/h",60/K238/1000,(IF(L238="Min/km",K238/1000,"")))))</f>
        <v>1.7500000000000002E-2</v>
      </c>
      <c r="N238" s="50">
        <f t="shared" ref="N238" si="800">H238*M238</f>
        <v>481.25000000000006</v>
      </c>
      <c r="O238" s="50">
        <f t="shared" ref="O238" si="801">N238*1.25</f>
        <v>601.56250000000011</v>
      </c>
      <c r="P238" s="51"/>
      <c r="Q238" s="50">
        <f t="shared" si="789"/>
        <v>356.46875</v>
      </c>
      <c r="R238" s="52">
        <f t="shared" ref="R238" si="802">N238/M238</f>
        <v>27500</v>
      </c>
      <c r="S238" s="52"/>
      <c r="T238" s="52"/>
      <c r="U238" s="52"/>
      <c r="V238" s="45">
        <f ca="1">VLOOKUP(F238,AGE!F:J,4,FALSE)</f>
        <v>2001</v>
      </c>
      <c r="W238" s="45">
        <f ca="1">VLOOKUP(F238,AGE!F:J,5,FALSE)</f>
        <v>1920</v>
      </c>
      <c r="Y238" s="33">
        <f t="shared" si="772"/>
        <v>0</v>
      </c>
    </row>
    <row r="239" spans="1:25" x14ac:dyDescent="0.3">
      <c r="A239" s="33">
        <v>91</v>
      </c>
      <c r="B239" s="33">
        <v>90</v>
      </c>
      <c r="C239" s="33">
        <v>1</v>
      </c>
      <c r="D239" s="34" t="str">
        <f t="shared" si="709"/>
        <v>91901</v>
      </c>
      <c r="E239" s="33" t="s">
        <v>23</v>
      </c>
      <c r="F239" s="44" t="s">
        <v>22</v>
      </c>
      <c r="G239" s="54" t="s">
        <v>23</v>
      </c>
      <c r="H239" s="69">
        <f t="shared" si="783"/>
        <v>45000</v>
      </c>
      <c r="I239" s="63">
        <v>55000</v>
      </c>
      <c r="J239" s="63">
        <v>35000</v>
      </c>
      <c r="K239" s="47">
        <v>105</v>
      </c>
      <c r="L239" s="48" t="s">
        <v>31</v>
      </c>
      <c r="M239" s="49">
        <f t="shared" si="775"/>
        <v>1.7500000000000002E-2</v>
      </c>
      <c r="N239" s="50">
        <f t="shared" si="776"/>
        <v>787.50000000000011</v>
      </c>
      <c r="O239" s="50">
        <f t="shared" si="777"/>
        <v>984.37500000000011</v>
      </c>
      <c r="P239" s="51"/>
      <c r="Q239" s="50">
        <f t="shared" si="789"/>
        <v>602.56250000000011</v>
      </c>
      <c r="R239" s="52">
        <f t="shared" si="778"/>
        <v>45000</v>
      </c>
      <c r="S239" s="52"/>
      <c r="T239" s="52"/>
      <c r="U239" s="52"/>
      <c r="V239" s="45">
        <f ca="1">VLOOKUP(F239,AGE!F:J,4,FALSE)</f>
        <v>2001</v>
      </c>
      <c r="W239" s="45">
        <f ca="1">VLOOKUP(F239,AGE!F:J,5,FALSE)</f>
        <v>1920</v>
      </c>
      <c r="Y239" s="33">
        <f t="shared" si="772"/>
        <v>0</v>
      </c>
    </row>
    <row r="240" spans="1:25" x14ac:dyDescent="0.3">
      <c r="A240" s="33">
        <v>91</v>
      </c>
      <c r="B240" s="33">
        <v>90</v>
      </c>
      <c r="C240" s="33">
        <v>4</v>
      </c>
      <c r="D240" s="34" t="str">
        <f t="shared" ref="D240" si="803">CONCATENATE(A240,B240,C240)</f>
        <v>91904</v>
      </c>
      <c r="E240" s="33" t="s">
        <v>23</v>
      </c>
      <c r="F240" s="44" t="s">
        <v>22</v>
      </c>
      <c r="G240" s="54" t="s">
        <v>23</v>
      </c>
      <c r="H240" s="69">
        <f t="shared" ref="H240" si="804">(I240+J240)/2</f>
        <v>45000</v>
      </c>
      <c r="I240" s="63">
        <v>55000</v>
      </c>
      <c r="J240" s="63">
        <v>35000</v>
      </c>
      <c r="K240" s="47">
        <v>105</v>
      </c>
      <c r="L240" s="48" t="s">
        <v>31</v>
      </c>
      <c r="M240" s="49">
        <f t="shared" ref="M240" si="805">IF(L240="Sec/100m",((K240)/60/100),(IF(L240="Km/h",60/K240/1000,(IF(L240="Min/km",K240/1000,"")))))</f>
        <v>1.7500000000000002E-2</v>
      </c>
      <c r="N240" s="50">
        <f t="shared" ref="N240" si="806">H240*M240</f>
        <v>787.50000000000011</v>
      </c>
      <c r="O240" s="50">
        <f t="shared" ref="O240" si="807">N240*1.25</f>
        <v>984.37500000000011</v>
      </c>
      <c r="P240" s="51"/>
      <c r="Q240" s="50">
        <f t="shared" si="789"/>
        <v>602.56250000000011</v>
      </c>
      <c r="R240" s="52">
        <f t="shared" ref="R240" si="808">N240/M240</f>
        <v>45000</v>
      </c>
      <c r="S240" s="52"/>
      <c r="T240" s="52"/>
      <c r="U240" s="52"/>
      <c r="V240" s="45">
        <f ca="1">VLOOKUP(F240,AGE!F:J,4,FALSE)</f>
        <v>2001</v>
      </c>
      <c r="W240" s="45">
        <f ca="1">VLOOKUP(F240,AGE!F:J,5,FALSE)</f>
        <v>1920</v>
      </c>
      <c r="Y240" s="33">
        <f t="shared" si="772"/>
        <v>0</v>
      </c>
    </row>
    <row r="241" spans="1:25" x14ac:dyDescent="0.3">
      <c r="A241" s="33">
        <v>91</v>
      </c>
      <c r="B241" s="33">
        <v>91</v>
      </c>
      <c r="C241" s="33">
        <v>1</v>
      </c>
      <c r="D241" s="34" t="str">
        <f t="shared" si="709"/>
        <v>91911</v>
      </c>
      <c r="E241" s="33" t="s">
        <v>23</v>
      </c>
      <c r="F241" s="44" t="s">
        <v>38</v>
      </c>
      <c r="G241" s="100" t="s">
        <v>23</v>
      </c>
      <c r="H241" s="69">
        <f t="shared" si="783"/>
        <v>68750</v>
      </c>
      <c r="I241" s="63">
        <v>55000</v>
      </c>
      <c r="J241" s="63">
        <f>+I241*1.5</f>
        <v>82500</v>
      </c>
      <c r="K241" s="47">
        <v>105</v>
      </c>
      <c r="L241" s="48" t="s">
        <v>31</v>
      </c>
      <c r="M241" s="49">
        <f t="shared" si="775"/>
        <v>1.7500000000000002E-2</v>
      </c>
      <c r="N241" s="50">
        <f t="shared" si="776"/>
        <v>1203.1250000000002</v>
      </c>
      <c r="O241" s="50">
        <f t="shared" si="777"/>
        <v>1503.9062500000002</v>
      </c>
      <c r="P241" s="51"/>
      <c r="Q241" s="50">
        <f t="shared" si="789"/>
        <v>985.37500000000011</v>
      </c>
      <c r="R241" s="52">
        <f t="shared" si="778"/>
        <v>68750</v>
      </c>
      <c r="S241" s="52"/>
      <c r="T241" s="52"/>
      <c r="U241" s="52"/>
      <c r="V241" s="45">
        <f ca="1">VLOOKUP(F241,AGE!F:J,4,FALSE)</f>
        <v>2001</v>
      </c>
      <c r="W241" s="45">
        <f ca="1">VLOOKUP(F241,AGE!F:J,5,FALSE)</f>
        <v>1920</v>
      </c>
      <c r="Y241" s="33">
        <f t="shared" si="772"/>
        <v>0</v>
      </c>
    </row>
    <row r="242" spans="1:25" x14ac:dyDescent="0.3">
      <c r="A242" s="33">
        <v>91</v>
      </c>
      <c r="B242" s="33">
        <v>91</v>
      </c>
      <c r="C242" s="33">
        <v>4</v>
      </c>
      <c r="D242" s="34" t="str">
        <f t="shared" ref="D242" si="809">CONCATENATE(A242,B242,C242)</f>
        <v>91914</v>
      </c>
      <c r="E242" s="33" t="s">
        <v>23</v>
      </c>
      <c r="F242" s="44" t="s">
        <v>38</v>
      </c>
      <c r="G242" s="100" t="s">
        <v>23</v>
      </c>
      <c r="H242" s="69">
        <f t="shared" ref="H242" si="810">(I242+J242)/2</f>
        <v>68750</v>
      </c>
      <c r="I242" s="63">
        <v>55000</v>
      </c>
      <c r="J242" s="63">
        <f>+I242*1.5</f>
        <v>82500</v>
      </c>
      <c r="K242" s="47">
        <v>105</v>
      </c>
      <c r="L242" s="48" t="s">
        <v>31</v>
      </c>
      <c r="M242" s="49">
        <f t="shared" ref="M242" si="811">IF(L242="Sec/100m",((K242)/60/100),(IF(L242="Km/h",60/K242/1000,(IF(L242="Min/km",K242/1000,"")))))</f>
        <v>1.7500000000000002E-2</v>
      </c>
      <c r="N242" s="50">
        <f t="shared" ref="N242" si="812">H242*M242</f>
        <v>1203.1250000000002</v>
      </c>
      <c r="O242" s="50">
        <f t="shared" ref="O242" si="813">N242*1.25</f>
        <v>1503.9062500000002</v>
      </c>
      <c r="P242" s="51"/>
      <c r="Q242" s="50">
        <f t="shared" si="789"/>
        <v>985.37500000000011</v>
      </c>
      <c r="R242" s="52">
        <f t="shared" ref="R242" si="814">N242/M242</f>
        <v>68750</v>
      </c>
      <c r="S242" s="52"/>
      <c r="T242" s="52"/>
      <c r="U242" s="52"/>
      <c r="V242" s="45">
        <f ca="1">VLOOKUP(F242,AGE!F:J,4,FALSE)</f>
        <v>2001</v>
      </c>
      <c r="W242" s="45">
        <f ca="1">VLOOKUP(F242,AGE!F:J,5,FALSE)</f>
        <v>1920</v>
      </c>
      <c r="Y242" s="33">
        <f t="shared" si="772"/>
        <v>0</v>
      </c>
    </row>
    <row r="243" spans="1:25" x14ac:dyDescent="0.3">
      <c r="H243" s="33"/>
    </row>
  </sheetData>
  <sheetProtection algorithmName="SHA-512" hashValue="nOKXXzIKyOxzzvF0KtlFrceHZDLoxpMz8qjYD7g+j7J9T6zTVt3oOIfEM65q/pCaHAGs0LSo3LBvsMlMWwuAtg==" saltValue="fIdxoQtkp5TT1HEAiFZcOQ==" spinCount="100000" sheet="1" objects="1" scenarios="1" selectLockedCells="1" selectUnlockedCells="1"/>
  <conditionalFormatting sqref="Y5:Y242">
    <cfRule type="containsText" dxfId="11" priority="1" operator="containsText" text="Attention">
      <formula>NOT(ISERROR(SEARCH("Attention",Y5)))</formula>
    </cfRule>
  </conditionalFormatting>
  <pageMargins left="0.25" right="0.25" top="0.75" bottom="0.75" header="0.3" footer="0.3"/>
  <pageSetup scale="37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C7" sqref="C7"/>
    </sheetView>
  </sheetViews>
  <sheetFormatPr baseColWidth="10" defaultRowHeight="14.4" x14ac:dyDescent="0.3"/>
  <cols>
    <col min="1" max="1" width="4.88671875" customWidth="1"/>
    <col min="2" max="2" width="19.44140625" customWidth="1"/>
    <col min="3" max="3" width="5.6640625" customWidth="1"/>
    <col min="5" max="5" width="5.5546875" customWidth="1"/>
    <col min="7" max="8" width="21.88671875" style="1" customWidth="1"/>
    <col min="9" max="10" width="11.5546875" style="1"/>
  </cols>
  <sheetData>
    <row r="1" spans="2:10" ht="78.599999999999994" customHeight="1" x14ac:dyDescent="0.3">
      <c r="B1" s="174" t="s">
        <v>88</v>
      </c>
      <c r="D1" s="177" t="s">
        <v>90</v>
      </c>
      <c r="F1" s="175" t="s">
        <v>1</v>
      </c>
      <c r="G1" s="175" t="s">
        <v>84</v>
      </c>
      <c r="H1" s="175" t="s">
        <v>85</v>
      </c>
      <c r="I1" s="175" t="s">
        <v>86</v>
      </c>
      <c r="J1" s="175" t="s">
        <v>87</v>
      </c>
    </row>
    <row r="2" spans="2:10" x14ac:dyDescent="0.3">
      <c r="B2" s="17">
        <v>9</v>
      </c>
      <c r="D2" s="178">
        <f ca="1">IF(MONTH(TODAY())&gt;=B2,YEAR(TODAY())+1,YEAR(TODAY()))</f>
        <v>2019</v>
      </c>
      <c r="F2" s="2" t="s">
        <v>14</v>
      </c>
      <c r="G2" s="176">
        <v>6</v>
      </c>
      <c r="H2" s="176">
        <v>9</v>
      </c>
      <c r="I2" s="176">
        <f ca="1">$D$2-G2</f>
        <v>2013</v>
      </c>
      <c r="J2" s="176">
        <f ca="1">$D$2-H2</f>
        <v>2010</v>
      </c>
    </row>
    <row r="3" spans="2:10" x14ac:dyDescent="0.3">
      <c r="F3" s="2" t="s">
        <v>15</v>
      </c>
      <c r="G3" s="176">
        <v>8</v>
      </c>
      <c r="H3" s="176">
        <v>11</v>
      </c>
      <c r="I3" s="176">
        <f t="shared" ref="I3:J11" ca="1" si="0">$D$2-G3</f>
        <v>2011</v>
      </c>
      <c r="J3" s="176">
        <f t="shared" ca="1" si="0"/>
        <v>2008</v>
      </c>
    </row>
    <row r="4" spans="2:10" x14ac:dyDescent="0.3">
      <c r="F4" s="2" t="s">
        <v>79</v>
      </c>
      <c r="G4" s="176">
        <v>10</v>
      </c>
      <c r="H4" s="176">
        <v>13</v>
      </c>
      <c r="I4" s="176">
        <f t="shared" ca="1" si="0"/>
        <v>2009</v>
      </c>
      <c r="J4" s="176">
        <f t="shared" ca="1" si="0"/>
        <v>2006</v>
      </c>
    </row>
    <row r="5" spans="2:10" x14ac:dyDescent="0.3">
      <c r="F5" s="2" t="s">
        <v>17</v>
      </c>
      <c r="G5" s="176">
        <v>12</v>
      </c>
      <c r="H5" s="176">
        <v>19</v>
      </c>
      <c r="I5" s="176">
        <f t="shared" ca="1" si="0"/>
        <v>2007</v>
      </c>
      <c r="J5" s="176">
        <f t="shared" ca="1" si="0"/>
        <v>2000</v>
      </c>
    </row>
    <row r="6" spans="2:10" x14ac:dyDescent="0.3">
      <c r="F6" s="2" t="s">
        <v>18</v>
      </c>
      <c r="G6" s="176">
        <v>12</v>
      </c>
      <c r="H6" s="176">
        <v>99</v>
      </c>
      <c r="I6" s="176">
        <f t="shared" ca="1" si="0"/>
        <v>2007</v>
      </c>
      <c r="J6" s="176">
        <f t="shared" ca="1" si="0"/>
        <v>1920</v>
      </c>
    </row>
    <row r="7" spans="2:10" x14ac:dyDescent="0.3">
      <c r="F7" s="2" t="s">
        <v>19</v>
      </c>
      <c r="G7" s="176">
        <v>16</v>
      </c>
      <c r="H7" s="176">
        <v>99</v>
      </c>
      <c r="I7" s="176">
        <f t="shared" ca="1" si="0"/>
        <v>2003</v>
      </c>
      <c r="J7" s="176">
        <f t="shared" ca="1" si="0"/>
        <v>1920</v>
      </c>
    </row>
    <row r="8" spans="2:10" x14ac:dyDescent="0.3">
      <c r="F8" s="2" t="s">
        <v>20</v>
      </c>
      <c r="G8" s="176">
        <v>18</v>
      </c>
      <c r="H8" s="176">
        <v>99</v>
      </c>
      <c r="I8" s="176">
        <f t="shared" ca="1" si="0"/>
        <v>2001</v>
      </c>
      <c r="J8" s="176">
        <f t="shared" ca="1" si="0"/>
        <v>1920</v>
      </c>
    </row>
    <row r="9" spans="2:10" x14ac:dyDescent="0.3">
      <c r="F9" s="2" t="s">
        <v>21</v>
      </c>
      <c r="G9" s="176">
        <v>18</v>
      </c>
      <c r="H9" s="176">
        <v>99</v>
      </c>
      <c r="I9" s="176">
        <f t="shared" ca="1" si="0"/>
        <v>2001</v>
      </c>
      <c r="J9" s="176">
        <f t="shared" ca="1" si="0"/>
        <v>1920</v>
      </c>
    </row>
    <row r="10" spans="2:10" x14ac:dyDescent="0.3">
      <c r="F10" s="2" t="s">
        <v>22</v>
      </c>
      <c r="G10" s="176">
        <v>18</v>
      </c>
      <c r="H10" s="176">
        <v>99</v>
      </c>
      <c r="I10" s="176">
        <f t="shared" ca="1" si="0"/>
        <v>2001</v>
      </c>
      <c r="J10" s="176">
        <f t="shared" ca="1" si="0"/>
        <v>1920</v>
      </c>
    </row>
    <row r="11" spans="2:10" x14ac:dyDescent="0.3">
      <c r="F11" s="2" t="s">
        <v>38</v>
      </c>
      <c r="G11" s="176">
        <v>18</v>
      </c>
      <c r="H11" s="176">
        <v>99</v>
      </c>
      <c r="I11" s="176">
        <f t="shared" ca="1" si="0"/>
        <v>2001</v>
      </c>
      <c r="J11" s="176">
        <f t="shared" ca="1" si="0"/>
        <v>1920</v>
      </c>
    </row>
  </sheetData>
  <sheetProtection algorithmName="SHA-512" hashValue="/cnMhLZ4hiif0HYMe0GhiBy+RgGQecGlnPXFbj3a3wpt/wyqK/UadRs6mx4pYh4MfOQBqpPTNaDgduJzmdZIvQ==" saltValue="caBGPiQpTy5m5V9vTgGUbA==" spinCount="100000" sheet="1" objects="1" scenarios="1" selectLockedCells="1" selectUnlockedCells="1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'Liste déroulante'!$Z$2:$Z$13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U24"/>
  <sheetViews>
    <sheetView showGridLines="0" showZeros="0" tabSelected="1" zoomScale="90" zoomScaleNormal="90" workbookViewId="0">
      <selection activeCell="D6" sqref="D6"/>
    </sheetView>
  </sheetViews>
  <sheetFormatPr baseColWidth="10" defaultColWidth="11.5546875" defaultRowHeight="14.4" x14ac:dyDescent="0.3"/>
  <cols>
    <col min="1" max="1" width="7.88671875" style="33" customWidth="1"/>
    <col min="2" max="2" width="4.88671875" style="33" customWidth="1"/>
    <col min="3" max="3" width="22.109375" style="33" customWidth="1"/>
    <col min="4" max="4" width="14.44140625" style="33" customWidth="1"/>
    <col min="5" max="6" width="5.5546875" style="33" hidden="1" customWidth="1"/>
    <col min="7" max="7" width="2.109375" style="33" hidden="1" customWidth="1"/>
    <col min="8" max="8" width="6.44140625" style="33" hidden="1" customWidth="1"/>
    <col min="9" max="9" width="4.88671875" style="33" hidden="1" customWidth="1"/>
    <col min="10" max="10" width="13.44140625" style="33" bestFit="1" customWidth="1"/>
    <col min="11" max="11" width="11.6640625" style="33" customWidth="1"/>
    <col min="12" max="12" width="11.109375" style="33" customWidth="1"/>
    <col min="13" max="13" width="11.5546875" style="33" customWidth="1"/>
    <col min="14" max="14" width="12.6640625" style="33" customWidth="1"/>
    <col min="15" max="15" width="12" style="33" customWidth="1"/>
    <col min="16" max="16" width="10" style="33" customWidth="1"/>
    <col min="17" max="17" width="17.109375" style="33" customWidth="1"/>
    <col min="18" max="18" width="5.109375" style="33" customWidth="1"/>
    <col min="19" max="19" width="10.88671875" style="33" customWidth="1"/>
    <col min="20" max="20" width="36.6640625" style="33" customWidth="1"/>
    <col min="21" max="16384" width="11.5546875" style="33"/>
  </cols>
  <sheetData>
    <row r="1" spans="1:21" ht="21.75" customHeight="1" x14ac:dyDescent="0.3">
      <c r="A1" s="33" t="s">
        <v>91</v>
      </c>
      <c r="C1" s="182" t="s">
        <v>61</v>
      </c>
      <c r="D1" s="182"/>
      <c r="I1" s="112"/>
      <c r="J1" s="113">
        <v>4</v>
      </c>
      <c r="K1" s="114">
        <v>5</v>
      </c>
      <c r="L1" s="114">
        <v>6</v>
      </c>
      <c r="M1" s="114">
        <v>7</v>
      </c>
      <c r="N1" s="114">
        <v>11</v>
      </c>
      <c r="O1" s="114">
        <v>12</v>
      </c>
      <c r="P1" s="114">
        <v>13</v>
      </c>
      <c r="Q1" s="114">
        <v>14</v>
      </c>
      <c r="R1" s="114">
        <v>16</v>
      </c>
      <c r="S1" s="114">
        <v>17</v>
      </c>
      <c r="T1" s="114">
        <v>18</v>
      </c>
      <c r="U1" s="115"/>
    </row>
    <row r="2" spans="1:21" ht="9.75" customHeight="1" x14ac:dyDescent="0.3">
      <c r="J2" s="113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5"/>
    </row>
    <row r="3" spans="1:21" ht="7.5" customHeight="1" x14ac:dyDescent="0.3">
      <c r="B3" s="116"/>
      <c r="C3" s="116"/>
      <c r="D3" s="116"/>
      <c r="E3" s="116"/>
      <c r="F3" s="116"/>
      <c r="G3" s="116"/>
      <c r="H3" s="116"/>
      <c r="I3" s="116"/>
      <c r="J3" s="117"/>
      <c r="K3" s="117"/>
      <c r="L3" s="117"/>
      <c r="M3" s="117"/>
      <c r="N3" s="117"/>
      <c r="O3" s="117"/>
      <c r="P3" s="117"/>
      <c r="Q3" s="117"/>
      <c r="R3" s="116"/>
      <c r="S3" s="114"/>
    </row>
    <row r="4" spans="1:21" s="118" customFormat="1" ht="35.25" customHeight="1" x14ac:dyDescent="0.3">
      <c r="B4" s="119"/>
      <c r="C4" s="186" t="s">
        <v>80</v>
      </c>
      <c r="D4" s="187"/>
      <c r="E4" s="187"/>
      <c r="F4" s="187"/>
      <c r="G4" s="187"/>
      <c r="H4" s="187"/>
      <c r="I4" s="187"/>
      <c r="J4" s="188"/>
      <c r="K4" s="183" t="s">
        <v>41</v>
      </c>
      <c r="L4" s="184"/>
      <c r="M4" s="185"/>
      <c r="N4" s="183" t="str">
        <f>IF(OR(C12="Raid",C12="Bike_and_Run",C12="Swim_Run"),"","Epreuve Assimilée")</f>
        <v>Epreuve Assimilée</v>
      </c>
      <c r="O4" s="184"/>
      <c r="P4" s="185"/>
      <c r="Q4" s="120"/>
      <c r="R4" s="116"/>
      <c r="S4" s="121"/>
      <c r="T4" s="179"/>
    </row>
    <row r="5" spans="1:21" s="121" customFormat="1" ht="49.5" customHeight="1" x14ac:dyDescent="0.3">
      <c r="B5" s="120"/>
      <c r="C5" s="122" t="s">
        <v>81</v>
      </c>
      <c r="D5" s="122" t="s">
        <v>67</v>
      </c>
      <c r="E5" s="123"/>
      <c r="F5" s="123"/>
      <c r="G5" s="123"/>
      <c r="H5" s="123"/>
      <c r="I5" s="123"/>
      <c r="J5" s="123" t="s">
        <v>44</v>
      </c>
      <c r="K5" s="124" t="s">
        <v>56</v>
      </c>
      <c r="L5" s="125" t="s">
        <v>57</v>
      </c>
      <c r="M5" s="126" t="s">
        <v>58</v>
      </c>
      <c r="N5" s="127" t="s">
        <v>69</v>
      </c>
      <c r="O5" s="128" t="s">
        <v>71</v>
      </c>
      <c r="P5" s="129" t="s">
        <v>70</v>
      </c>
      <c r="Q5" s="120"/>
      <c r="R5" s="116"/>
      <c r="T5"/>
    </row>
    <row r="6" spans="1:21" ht="14.4" customHeight="1" x14ac:dyDescent="0.3">
      <c r="B6" s="116"/>
      <c r="C6" s="31"/>
      <c r="D6" s="32"/>
      <c r="E6" s="33" t="e">
        <f>VLOOKUP(C6,'Liste déroulante'!$B$5:$C$14,2)</f>
        <v>#N/A</v>
      </c>
      <c r="F6" s="33" t="e">
        <f>VLOOKUP(D6,'Liste déroulante'!E5:F14,2)</f>
        <v>#N/A</v>
      </c>
      <c r="G6" s="33">
        <v>1</v>
      </c>
      <c r="H6" s="34" t="e">
        <f>CONCATENATE(E6,F6,G6)</f>
        <v>#N/A</v>
      </c>
      <c r="I6" s="34" t="str">
        <f>IF(COUNTIF(Données!D:D,Visualisation!H6)&gt;0, "vrai","faux")</f>
        <v>faux</v>
      </c>
      <c r="J6" s="130" t="str">
        <f>IF($I6="FAUX","",VLOOKUP($H6,Données!$D$5:$U$241,$J$1))</f>
        <v/>
      </c>
      <c r="K6" s="131" t="str">
        <f>IF($I6="FAUX","",VLOOKUP($H6,Données!$D$5:$U$241,K1))</f>
        <v/>
      </c>
      <c r="L6" s="132" t="str">
        <f>IF($I6="FAUX","",VLOOKUP($H6,Données!$D$5:$U$241,L1))</f>
        <v/>
      </c>
      <c r="M6" s="133" t="str">
        <f>IF($I6="FAUX","",VLOOKUP($H6,Données!$D$5:$U$241,M1))</f>
        <v/>
      </c>
      <c r="N6" s="134" t="str">
        <f>IF($I6="FAUX","",VLOOKUP($H6,Données!$D$5:$U$241,R1))</f>
        <v/>
      </c>
      <c r="O6" s="134" t="str">
        <f>IF($I6="FAUX","",VLOOKUP($H6,Données!$D$5:$U$241,S1))</f>
        <v/>
      </c>
      <c r="P6" s="135" t="str">
        <f>IF($I6="FAUX","",VLOOKUP($H6,Données!$D$5:$U$241,T1))</f>
        <v/>
      </c>
      <c r="Q6" s="116"/>
      <c r="R6" s="116"/>
      <c r="T6" s="179"/>
    </row>
    <row r="7" spans="1:21" ht="14.4" customHeight="1" x14ac:dyDescent="0.3">
      <c r="B7" s="116"/>
      <c r="C7" s="116"/>
      <c r="D7" s="116"/>
      <c r="G7" s="33">
        <v>2</v>
      </c>
      <c r="H7" s="34" t="e">
        <f>CONCATENATE(E6,F6,G7)</f>
        <v>#N/A</v>
      </c>
      <c r="I7" s="34" t="str">
        <f>IF(COUNTIF(Données!D:D,Visualisation!H7)&gt;0, "vrai","faux")</f>
        <v>faux</v>
      </c>
      <c r="J7" s="136" t="str">
        <f>IF($I7="FAUX","",VLOOKUP($H7,Données!$D$5:$U$241,J1))</f>
        <v/>
      </c>
      <c r="K7" s="137" t="str">
        <f>IF($I7="FAUX","",VLOOKUP($H7,Données!$D$5:$U$241,K1))</f>
        <v/>
      </c>
      <c r="L7" s="138" t="str">
        <f>IF($I7="FAUX","",VLOOKUP($H7,Données!$D$5:$U$241,L1))</f>
        <v/>
      </c>
      <c r="M7" s="139" t="str">
        <f>IF($I7="FAUX","",VLOOKUP($H7,Données!$D$5:$U$241,M1))</f>
        <v/>
      </c>
      <c r="N7" s="140" t="str">
        <f>IF($I7="FAUX","",VLOOKUP($H7,Données!$D$5:$U$241,R1))</f>
        <v/>
      </c>
      <c r="O7" s="140" t="str">
        <f>IF($I7="FAUX","",VLOOKUP($H7,Données!$D$5:$U$241,S1))</f>
        <v/>
      </c>
      <c r="P7" s="141" t="str">
        <f>IF($I7="FAUX","",VLOOKUP($H7,Données!$D$5:$U$241,T1))</f>
        <v/>
      </c>
      <c r="Q7" s="116"/>
      <c r="R7" s="116"/>
      <c r="T7"/>
    </row>
    <row r="8" spans="1:21" ht="14.4" customHeight="1" x14ac:dyDescent="0.3">
      <c r="B8" s="116"/>
      <c r="C8" s="116"/>
      <c r="D8" s="116"/>
      <c r="G8" s="33">
        <f>IF(C6="Aquathlon","",3)</f>
        <v>3</v>
      </c>
      <c r="H8" s="34" t="e">
        <f>CONCATENATE(E6,F6,G8)</f>
        <v>#N/A</v>
      </c>
      <c r="I8" s="34" t="str">
        <f>IF(COUNTIF(Données!D:D,Visualisation!H8)&gt;0, "vrai","faux")</f>
        <v>faux</v>
      </c>
      <c r="J8" s="136" t="str">
        <f>IF($I8="FAUX","",VLOOKUP($H8,Données!$D$5:$U$241,J1))</f>
        <v/>
      </c>
      <c r="K8" s="142" t="str">
        <f>IF($I8="FAUX","",VLOOKUP($H8,Données!$D$5:$U$241,K1))</f>
        <v/>
      </c>
      <c r="L8" s="143" t="str">
        <f>IF($I8="FAUX","",VLOOKUP($H8,Données!$D$5:$U$241,L1))</f>
        <v/>
      </c>
      <c r="M8" s="144" t="str">
        <f>IF($I8="FAUX","",VLOOKUP($H8,Données!$D$5:$U$241,M1))</f>
        <v/>
      </c>
      <c r="N8" s="145" t="str">
        <f>IF($I8="FAUX","",VLOOKUP($H8,Données!$D$5:$U$241,R1))</f>
        <v/>
      </c>
      <c r="O8" s="145" t="str">
        <f>IF($I8="FAUX","",VLOOKUP($H8,Données!$D$5:$U$241,S1))</f>
        <v/>
      </c>
      <c r="P8" s="146" t="str">
        <f>IF($I8="FAUX","",VLOOKUP($H8,Données!$D$5:$U$241,T1))</f>
        <v/>
      </c>
      <c r="Q8" s="116"/>
      <c r="R8" s="116"/>
      <c r="T8" s="179"/>
    </row>
    <row r="9" spans="1:21" ht="14.4" customHeight="1" x14ac:dyDescent="0.3">
      <c r="B9" s="116"/>
      <c r="C9" s="116"/>
      <c r="D9" s="116"/>
      <c r="G9" s="33">
        <v>4</v>
      </c>
      <c r="H9" s="34" t="e">
        <f>CONCATENATE(E6,F6,G9)</f>
        <v>#N/A</v>
      </c>
      <c r="I9" s="34" t="str">
        <f>IF(COUNTIF(Données!D:D,Visualisation!H9)&gt;0, "vrai","faux")</f>
        <v>faux</v>
      </c>
      <c r="J9" s="147" t="str">
        <f>IF($I9="FAUX","",VLOOKUP($H9,Données!$D$5:$U$241,J1))</f>
        <v/>
      </c>
      <c r="K9" s="148" t="str">
        <f>IF($I9="FAUX","",VLOOKUP($H9,Données!$D$5:$U$241,K1))</f>
        <v/>
      </c>
      <c r="L9" s="149" t="str">
        <f>IF($I9="FAUX","",VLOOKUP($H9,Données!$D$5:$U$241,L1))</f>
        <v/>
      </c>
      <c r="M9" s="150" t="str">
        <f>IF($I9="FAUX","",VLOOKUP($H9,Données!$D$5:$U$241,M1))</f>
        <v/>
      </c>
      <c r="N9" s="151" t="str">
        <f>IF($I9="FAUX","",VLOOKUP($H9,Données!$D$5:$U$241,R1))</f>
        <v/>
      </c>
      <c r="O9" s="152" t="str">
        <f>IF($I9="FAUX","",VLOOKUP($H9,Données!$D$5:$U$241,S1))</f>
        <v/>
      </c>
      <c r="P9" s="150" t="str">
        <f>IF($I9="FAUX","",VLOOKUP($H9,Données!$D$5:$U$241,T1))</f>
        <v/>
      </c>
      <c r="Q9" s="116"/>
      <c r="R9" s="116"/>
      <c r="T9"/>
    </row>
    <row r="10" spans="1:21" ht="8.25" customHeight="1" x14ac:dyDescent="0.3"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T10" s="179"/>
    </row>
    <row r="11" spans="1:21" s="118" customFormat="1" ht="44.25" customHeight="1" x14ac:dyDescent="0.3">
      <c r="B11" s="119"/>
      <c r="C11" s="153" t="s">
        <v>83</v>
      </c>
      <c r="D11" s="154"/>
      <c r="E11" s="155"/>
      <c r="F11" s="155"/>
      <c r="G11" s="155"/>
      <c r="H11" s="155"/>
      <c r="I11" s="155"/>
      <c r="J11" s="156" t="s">
        <v>44</v>
      </c>
      <c r="K11" s="157" t="s">
        <v>68</v>
      </c>
      <c r="L11" s="190" t="s">
        <v>41</v>
      </c>
      <c r="M11" s="190"/>
      <c r="N11" s="190" t="str">
        <f>IF(OR(C12="Raid",C12="Bike and Run",C12="Swim Run"),"","Epreuve Assimilée")</f>
        <v>Epreuve Assimilée</v>
      </c>
      <c r="O11" s="190"/>
      <c r="P11" s="119"/>
      <c r="Q11" s="122" t="str">
        <f ca="1">CONCATENATE("Année de naissance saison ",AGE!D2)</f>
        <v>Année de naissance saison 2019</v>
      </c>
      <c r="R11" s="116"/>
      <c r="T11"/>
    </row>
    <row r="12" spans="1:21" ht="14.4" customHeight="1" x14ac:dyDescent="0.3">
      <c r="B12" s="116"/>
      <c r="C12" s="158">
        <f>+C6</f>
        <v>0</v>
      </c>
      <c r="D12" s="159">
        <f>+D6</f>
        <v>0</v>
      </c>
      <c r="E12" s="79"/>
      <c r="F12" s="79"/>
      <c r="G12" s="79"/>
      <c r="H12" s="79"/>
      <c r="I12" s="79"/>
      <c r="J12" s="130" t="str">
        <f>+J6</f>
        <v/>
      </c>
      <c r="K12" s="28"/>
      <c r="L12" s="191" t="str">
        <f>IF($K12=0,"",IF(AND($K12&gt;=M6,$K12&lt;=L6),"Approuvé","Refusé"))</f>
        <v/>
      </c>
      <c r="M12" s="192"/>
      <c r="N12" s="191" t="str">
        <f>IF(K12=0,"",IF(O6=0,"",(IF(OR(K12&gt;O6,K12&lt;P6),"Refusé","Approuvé"))))</f>
        <v/>
      </c>
      <c r="O12" s="192"/>
      <c r="P12" s="119"/>
      <c r="Q12" s="160" t="s">
        <v>72</v>
      </c>
      <c r="R12" s="116"/>
      <c r="T12" s="179"/>
    </row>
    <row r="13" spans="1:21" ht="14.4" customHeight="1" x14ac:dyDescent="0.3">
      <c r="B13" s="116"/>
      <c r="C13" s="161"/>
      <c r="D13" s="162"/>
      <c r="E13" s="88"/>
      <c r="F13" s="88"/>
      <c r="G13" s="88"/>
      <c r="H13" s="88"/>
      <c r="I13" s="88"/>
      <c r="J13" s="136" t="str">
        <f>+J7</f>
        <v/>
      </c>
      <c r="K13" s="29"/>
      <c r="L13" s="193" t="str">
        <f>IF($K13=0,"",IF(L7="","",IF(AND($K13&gt;=M7,$K13&lt;=L7),"Approuvé","Refusé")))</f>
        <v/>
      </c>
      <c r="M13" s="194"/>
      <c r="N13" s="193" t="str">
        <f>IF(K13=0,"",IF(O7="","",IF(O7=0,"",(IF(OR(K13&gt;O7,K13&lt;P7),"Refusé","Approuvé")))))</f>
        <v/>
      </c>
      <c r="O13" s="194"/>
      <c r="P13" s="119"/>
      <c r="Q13" s="163" t="str">
        <f>IF($I9="FAUX","",VLOOKUP($H9,Données!$D$5:$W$241,19))</f>
        <v/>
      </c>
      <c r="R13" s="116"/>
      <c r="T13"/>
    </row>
    <row r="14" spans="1:21" ht="14.4" customHeight="1" x14ac:dyDescent="0.3">
      <c r="B14" s="116"/>
      <c r="C14" s="164"/>
      <c r="D14" s="165"/>
      <c r="E14" s="97"/>
      <c r="F14" s="97"/>
      <c r="G14" s="97"/>
      <c r="H14" s="97"/>
      <c r="I14" s="97"/>
      <c r="J14" s="166" t="str">
        <f>+J8</f>
        <v/>
      </c>
      <c r="K14" s="30"/>
      <c r="L14" s="195" t="str">
        <f>IF($K14=0,"",IF(L8="","",IF(AND($K14&gt;=M8,$K14&lt;=L8),"Approuvé","Refusé")))</f>
        <v/>
      </c>
      <c r="M14" s="196"/>
      <c r="N14" s="193" t="str">
        <f>IF(K14=0,"",IF(O8="","",IF(O8=0,"",(IF(OR(K14&gt;O8,K14&lt;P8),"Refusé","Approuvé")))))</f>
        <v/>
      </c>
      <c r="O14" s="194"/>
      <c r="P14" s="119"/>
      <c r="Q14" s="160" t="s">
        <v>73</v>
      </c>
      <c r="R14" s="116"/>
      <c r="T14" s="179"/>
    </row>
    <row r="15" spans="1:21" ht="14.4" customHeight="1" x14ac:dyDescent="0.3">
      <c r="B15" s="116"/>
      <c r="C15" s="116"/>
      <c r="D15" s="116"/>
      <c r="E15" s="116"/>
      <c r="F15" s="116"/>
      <c r="G15" s="116"/>
      <c r="H15" s="116"/>
      <c r="I15" s="116"/>
      <c r="J15" s="116"/>
      <c r="K15" s="167">
        <f>IF(J14="",SUM(K12:K13),SUM(K12:K14))</f>
        <v>0</v>
      </c>
      <c r="L15" s="197" t="str">
        <f>IF(L12="Refusé","Refusé",IF(L13="Refusé","Refusé",IF(L14="Refusé","Refusé",IF($K$15=0,"",IF(AND(K15&gt;=M9,K15&lt;=L9),"Approuvé","Refusé")))))</f>
        <v/>
      </c>
      <c r="M15" s="198"/>
      <c r="N15" s="197" t="str">
        <f>IF(N12="Refusé","Refusé",IF(N13="Refusé","Refusé",IF(N14="Refusé","Refusé",IF($K$15=0,"",IF(AND(K15&gt;=P9,K15&lt;=N9),"Approuvé",IF(P9="","","Refusé"))))))</f>
        <v/>
      </c>
      <c r="O15" s="198"/>
      <c r="P15" s="116"/>
      <c r="Q15" s="163" t="str">
        <f>IF($I9="FAUX","",VLOOKUP($H9,Données!$D$5:$W$241,20))</f>
        <v/>
      </c>
      <c r="R15" s="116"/>
      <c r="T15"/>
    </row>
    <row r="16" spans="1:21" ht="7.5" customHeight="1" x14ac:dyDescent="0.3"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T16" s="179"/>
    </row>
    <row r="17" spans="2:20" ht="11.25" customHeight="1" x14ac:dyDescent="0.3">
      <c r="T17"/>
    </row>
    <row r="18" spans="2:20" ht="9.75" customHeight="1" x14ac:dyDescent="0.3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T18" s="179"/>
    </row>
    <row r="19" spans="2:20" s="118" customFormat="1" ht="42.6" customHeight="1" x14ac:dyDescent="0.3">
      <c r="B19" s="119"/>
      <c r="C19" s="189" t="s">
        <v>82</v>
      </c>
      <c r="D19" s="189"/>
      <c r="E19" s="168"/>
      <c r="F19" s="168"/>
      <c r="G19" s="168"/>
      <c r="H19" s="168"/>
      <c r="I19" s="168"/>
      <c r="J19" s="183" t="s">
        <v>41</v>
      </c>
      <c r="K19" s="184"/>
      <c r="L19" s="185"/>
      <c r="M19" s="116"/>
      <c r="N19" s="122" t="str">
        <f ca="1">CONCATENATE("Année de naissance saison ",AGE!D2)</f>
        <v>Année de naissance saison 2019</v>
      </c>
      <c r="O19" s="116"/>
      <c r="P19" s="33"/>
      <c r="Q19" s="33"/>
      <c r="R19" s="33"/>
      <c r="S19" s="33"/>
    </row>
    <row r="20" spans="2:20" s="121" customFormat="1" ht="30.75" customHeight="1" x14ac:dyDescent="0.3">
      <c r="B20" s="120"/>
      <c r="C20" s="122" t="s">
        <v>81</v>
      </c>
      <c r="D20" s="122" t="s">
        <v>67</v>
      </c>
      <c r="E20" s="123"/>
      <c r="F20" s="123"/>
      <c r="G20" s="123"/>
      <c r="H20" s="123"/>
      <c r="I20" s="123"/>
      <c r="J20" s="123" t="s">
        <v>62</v>
      </c>
      <c r="K20" s="123" t="s">
        <v>63</v>
      </c>
      <c r="L20" s="123" t="s">
        <v>64</v>
      </c>
      <c r="M20" s="116"/>
      <c r="N20" s="160" t="s">
        <v>72</v>
      </c>
      <c r="O20" s="116"/>
      <c r="P20" s="33"/>
      <c r="Q20" s="33"/>
      <c r="R20" s="33"/>
      <c r="S20" s="33"/>
    </row>
    <row r="21" spans="2:20" x14ac:dyDescent="0.3">
      <c r="B21" s="116"/>
      <c r="C21" s="31"/>
      <c r="D21" s="32"/>
      <c r="E21" s="33" t="e">
        <f>VLOOKUP(C21,'Liste déroulante'!$B$5:$C$14,2)</f>
        <v>#N/A</v>
      </c>
      <c r="F21" s="97" t="e">
        <f>VLOOKUP(D21,'Liste déroulante'!E5:F14,2)</f>
        <v>#N/A</v>
      </c>
      <c r="G21" s="97">
        <v>1</v>
      </c>
      <c r="H21" s="98" t="e">
        <f>CONCATENATE(E21,F21,G21)</f>
        <v>#N/A</v>
      </c>
      <c r="I21" s="98" t="str">
        <f>IF(COUNTIF(Données!D:D,Visualisation!H21)&gt;0, "vrai","faux")</f>
        <v>faux</v>
      </c>
      <c r="J21" s="169" t="str">
        <f>IF($I21="FAUX","",VLOOKUP($H21,Données!$D$5:$U$241,N1))</f>
        <v/>
      </c>
      <c r="K21" s="170" t="str">
        <f>IF($I21="FAUX","",VLOOKUP($H21,Données!$D$5:$U$241,O1))</f>
        <v/>
      </c>
      <c r="L21" s="171" t="str">
        <f>IF($I21="FAUX","",VLOOKUP($H21,Données!$D$5:$U$241,Q1))</f>
        <v/>
      </c>
      <c r="M21" s="116"/>
      <c r="N21" s="163" t="str">
        <f>IF($I21="FAUX","",VLOOKUP($H21,Données!$D$5:$W$241,19))</f>
        <v/>
      </c>
      <c r="O21" s="116"/>
    </row>
    <row r="22" spans="2:20" x14ac:dyDescent="0.3">
      <c r="B22" s="116"/>
      <c r="C22" s="116"/>
      <c r="D22" s="116"/>
      <c r="E22" s="116"/>
      <c r="F22" s="116"/>
      <c r="G22" s="116"/>
      <c r="H22" s="116"/>
      <c r="I22" s="116"/>
      <c r="J22" s="172" t="str">
        <f>IF(J21="","",J21/60/24)</f>
        <v/>
      </c>
      <c r="K22" s="172" t="str">
        <f>IF(J21="","",K21/60/24)</f>
        <v/>
      </c>
      <c r="L22" s="172" t="str">
        <f>IF(J21="","",L21/60/24)</f>
        <v/>
      </c>
      <c r="M22" s="116"/>
      <c r="N22" s="160" t="s">
        <v>73</v>
      </c>
      <c r="O22" s="116"/>
    </row>
    <row r="23" spans="2:20" x14ac:dyDescent="0.3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63" t="str">
        <f>IF($I21="FAUX","",VLOOKUP($H21,Données!$D$5:$W$241,20))</f>
        <v/>
      </c>
      <c r="O23" s="116"/>
    </row>
    <row r="24" spans="2:20" x14ac:dyDescent="0.3"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</sheetData>
  <sheetProtection algorithmName="SHA-512" hashValue="XqbQ0GBeGXggoIyNuzlOZ38NHK/A5qAnekgqcIqc5libn+CtteEZZQNpj/j4ZmQcGoIpa+IXygVUddH260zRjA==" saltValue="5gM1lRL6SdzG9aCJPmvCdg==" spinCount="100000" sheet="1" objects="1" scenarios="1" selectLockedCells="1"/>
  <mergeCells count="16">
    <mergeCell ref="C1:D1"/>
    <mergeCell ref="N4:P4"/>
    <mergeCell ref="K4:M4"/>
    <mergeCell ref="J19:L19"/>
    <mergeCell ref="C4:J4"/>
    <mergeCell ref="C19:D19"/>
    <mergeCell ref="L11:M11"/>
    <mergeCell ref="N11:O11"/>
    <mergeCell ref="L12:M12"/>
    <mergeCell ref="L13:M13"/>
    <mergeCell ref="L14:M14"/>
    <mergeCell ref="L15:M15"/>
    <mergeCell ref="N12:O12"/>
    <mergeCell ref="N13:O13"/>
    <mergeCell ref="N14:O14"/>
    <mergeCell ref="N15:O15"/>
  </mergeCells>
  <conditionalFormatting sqref="O6">
    <cfRule type="cellIs" dxfId="10" priority="11" operator="equal">
      <formula>0</formula>
    </cfRule>
  </conditionalFormatting>
  <conditionalFormatting sqref="O7">
    <cfRule type="cellIs" dxfId="9" priority="13" operator="equal">
      <formula>0</formula>
    </cfRule>
  </conditionalFormatting>
  <conditionalFormatting sqref="O8">
    <cfRule type="cellIs" dxfId="8" priority="16" operator="equal">
      <formula>0</formula>
    </cfRule>
  </conditionalFormatting>
  <conditionalFormatting sqref="N6">
    <cfRule type="cellIs" dxfId="7" priority="6" operator="equal">
      <formula>0</formula>
    </cfRule>
  </conditionalFormatting>
  <conditionalFormatting sqref="N7">
    <cfRule type="cellIs" dxfId="6" priority="7" operator="equal">
      <formula>0</formula>
    </cfRule>
  </conditionalFormatting>
  <conditionalFormatting sqref="N8">
    <cfRule type="cellIs" dxfId="5" priority="8" operator="equal">
      <formula>0</formula>
    </cfRule>
  </conditionalFormatting>
  <conditionalFormatting sqref="J14:O14">
    <cfRule type="expression" dxfId="4" priority="5">
      <formula>$J$14=""</formula>
    </cfRule>
  </conditionalFormatting>
  <conditionalFormatting sqref="J13:O13">
    <cfRule type="expression" dxfId="3" priority="4">
      <formula>$J$13=""</formula>
    </cfRule>
  </conditionalFormatting>
  <conditionalFormatting sqref="J7:P7">
    <cfRule type="expression" dxfId="2" priority="3">
      <formula>$J$7=""</formula>
    </cfRule>
  </conditionalFormatting>
  <conditionalFormatting sqref="J8:P8">
    <cfRule type="expression" dxfId="1" priority="2">
      <formula>$J$8=""</formula>
    </cfRule>
  </conditionalFormatting>
  <conditionalFormatting sqref="P6">
    <cfRule type="cellIs" dxfId="0" priority="1" operator="equal">
      <formula>0</formula>
    </cfRule>
  </conditionalFormatting>
  <dataValidations count="4">
    <dataValidation type="list" allowBlank="1" showInputMessage="1" showErrorMessage="1" sqref="C6">
      <formula1>Disciplines_m</formula1>
    </dataValidation>
    <dataValidation type="list" allowBlank="1" showInputMessage="1" showErrorMessage="1" sqref="D6 D21">
      <formula1>INDIRECT($C$6)</formula1>
    </dataValidation>
    <dataValidation type="whole" allowBlank="1" showInputMessage="1" showErrorMessage="1" sqref="K12:K14">
      <formula1>0</formula1>
      <formula2>1000000000000</formula2>
    </dataValidation>
    <dataValidation type="list" allowBlank="1" showInputMessage="1" showErrorMessage="1" sqref="C21">
      <formula1>Disciplines_t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1:Z30"/>
  <sheetViews>
    <sheetView showGridLines="0" topLeftCell="O1" workbookViewId="0">
      <selection activeCell="X20" sqref="X20"/>
    </sheetView>
  </sheetViews>
  <sheetFormatPr baseColWidth="10" defaultRowHeight="18" customHeight="1" x14ac:dyDescent="0.3"/>
  <cols>
    <col min="1" max="1" width="3.6640625" customWidth="1"/>
    <col min="2" max="2" width="19.109375" bestFit="1" customWidth="1"/>
    <col min="3" max="3" width="4.88671875" customWidth="1"/>
    <col min="4" max="4" width="4.88671875" style="5" customWidth="1"/>
    <col min="5" max="5" width="18.33203125" customWidth="1"/>
    <col min="7" max="8" width="11.44140625" style="1"/>
    <col min="10" max="10" width="19.109375" bestFit="1" customWidth="1"/>
    <col min="14" max="14" width="13.109375" bestFit="1" customWidth="1"/>
    <col min="23" max="23" width="14.88671875" customWidth="1"/>
  </cols>
  <sheetData>
    <row r="1" spans="2:26" ht="18" customHeight="1" x14ac:dyDescent="0.3">
      <c r="B1" t="s">
        <v>0</v>
      </c>
      <c r="Z1" s="173" t="s">
        <v>89</v>
      </c>
    </row>
    <row r="2" spans="2:26" ht="18" customHeight="1" x14ac:dyDescent="0.3">
      <c r="V2">
        <v>10</v>
      </c>
      <c r="W2" s="3" t="s">
        <v>14</v>
      </c>
      <c r="Z2" s="1">
        <v>1</v>
      </c>
    </row>
    <row r="3" spans="2:26" ht="18" customHeight="1" x14ac:dyDescent="0.3">
      <c r="V3">
        <v>20</v>
      </c>
      <c r="W3" s="3" t="s">
        <v>15</v>
      </c>
      <c r="Z3" s="1">
        <v>2</v>
      </c>
    </row>
    <row r="4" spans="2:26" ht="18" customHeight="1" x14ac:dyDescent="0.3">
      <c r="B4" s="4" t="s">
        <v>39</v>
      </c>
      <c r="C4" s="4"/>
      <c r="D4" s="18"/>
      <c r="E4" s="4" t="s">
        <v>40</v>
      </c>
      <c r="F4" s="8"/>
      <c r="G4" s="14" t="s">
        <v>72</v>
      </c>
      <c r="H4" s="14" t="s">
        <v>72</v>
      </c>
      <c r="I4" s="5"/>
      <c r="J4" s="6"/>
      <c r="K4" s="7"/>
      <c r="L4" s="7"/>
      <c r="M4" s="7"/>
      <c r="N4" s="7"/>
      <c r="O4" s="7"/>
      <c r="P4" s="7"/>
      <c r="Q4" s="7"/>
      <c r="R4" s="7"/>
      <c r="S4" s="7"/>
      <c r="T4" s="8"/>
      <c r="V4">
        <v>30</v>
      </c>
      <c r="W4" s="3" t="s">
        <v>16</v>
      </c>
      <c r="Z4" s="1">
        <v>3</v>
      </c>
    </row>
    <row r="5" spans="2:26" ht="18" customHeight="1" x14ac:dyDescent="0.3">
      <c r="B5" s="9" t="s">
        <v>11</v>
      </c>
      <c r="C5" s="10">
        <v>50</v>
      </c>
      <c r="D5" s="5">
        <f>+VLOOKUP(B5,'Liste déroulante'!$B$5:$C$14,2)</f>
        <v>50</v>
      </c>
      <c r="E5" s="19" t="s">
        <v>21</v>
      </c>
      <c r="F5" s="10">
        <v>80</v>
      </c>
      <c r="G5" s="2">
        <f>+G23</f>
        <v>2000</v>
      </c>
      <c r="H5" s="2">
        <f>+H23</f>
        <v>1919</v>
      </c>
      <c r="I5" s="5">
        <f t="shared" ref="I5:I11" si="0">+VLOOKUP(E5,$E$5:$F$14,2)</f>
        <v>80</v>
      </c>
      <c r="J5" s="9" t="s">
        <v>11</v>
      </c>
      <c r="K5" s="15" t="s">
        <v>14</v>
      </c>
      <c r="L5" s="15" t="s">
        <v>15</v>
      </c>
      <c r="M5" s="15" t="s">
        <v>79</v>
      </c>
      <c r="N5" s="15" t="s">
        <v>17</v>
      </c>
      <c r="O5" s="15" t="s">
        <v>18</v>
      </c>
      <c r="P5" s="15" t="s">
        <v>19</v>
      </c>
      <c r="Q5" s="15" t="s">
        <v>20</v>
      </c>
      <c r="R5" s="15" t="s">
        <v>21</v>
      </c>
      <c r="S5" s="15" t="s">
        <v>22</v>
      </c>
      <c r="T5" s="10"/>
      <c r="V5" s="22">
        <v>40</v>
      </c>
      <c r="W5" s="23" t="s">
        <v>17</v>
      </c>
      <c r="Z5" s="1">
        <v>4</v>
      </c>
    </row>
    <row r="6" spans="2:26" ht="18" customHeight="1" x14ac:dyDescent="0.3">
      <c r="B6" s="9" t="s">
        <v>45</v>
      </c>
      <c r="C6" s="10">
        <v>60</v>
      </c>
      <c r="D6" s="5">
        <f>+VLOOKUP(B6,'Liste déroulante'!$B$5:$C$14,2)</f>
        <v>60</v>
      </c>
      <c r="E6" s="19" t="s">
        <v>20</v>
      </c>
      <c r="F6" s="10">
        <v>70</v>
      </c>
      <c r="G6" s="2">
        <f>+G22</f>
        <v>2000</v>
      </c>
      <c r="H6" s="2">
        <f>+H22</f>
        <v>1919</v>
      </c>
      <c r="I6" s="5">
        <f t="shared" si="0"/>
        <v>70</v>
      </c>
      <c r="J6" s="9" t="s">
        <v>46</v>
      </c>
      <c r="K6" s="15" t="s">
        <v>14</v>
      </c>
      <c r="L6" s="15" t="s">
        <v>15</v>
      </c>
      <c r="M6" s="15" t="s">
        <v>79</v>
      </c>
      <c r="N6" s="15" t="s">
        <v>17</v>
      </c>
      <c r="O6" s="15" t="s">
        <v>18</v>
      </c>
      <c r="P6" s="15" t="s">
        <v>19</v>
      </c>
      <c r="Q6" s="15" t="s">
        <v>20</v>
      </c>
      <c r="R6" s="15" t="s">
        <v>21</v>
      </c>
      <c r="S6" s="15" t="s">
        <v>22</v>
      </c>
      <c r="T6" s="10"/>
      <c r="V6">
        <v>50</v>
      </c>
      <c r="W6" s="3" t="s">
        <v>18</v>
      </c>
      <c r="Z6" s="1">
        <v>5</v>
      </c>
    </row>
    <row r="7" spans="2:26" ht="18" customHeight="1" x14ac:dyDescent="0.3">
      <c r="B7" s="9" t="s">
        <v>46</v>
      </c>
      <c r="C7" s="10">
        <v>40</v>
      </c>
      <c r="D7" s="5">
        <f>+VLOOKUP(B7,'Liste déroulante'!$B$5:$C$14,2)</f>
        <v>40</v>
      </c>
      <c r="E7" s="19" t="s">
        <v>19</v>
      </c>
      <c r="F7" s="10">
        <v>60</v>
      </c>
      <c r="G7" s="2">
        <f>+G21</f>
        <v>2002</v>
      </c>
      <c r="H7" s="2">
        <f>+H21</f>
        <v>1919</v>
      </c>
      <c r="I7" s="5">
        <f t="shared" si="0"/>
        <v>60</v>
      </c>
      <c r="J7" s="9" t="s">
        <v>47</v>
      </c>
      <c r="K7" s="15" t="s">
        <v>14</v>
      </c>
      <c r="L7" s="15" t="s">
        <v>15</v>
      </c>
      <c r="M7" s="15" t="s">
        <v>79</v>
      </c>
      <c r="N7" s="15" t="s">
        <v>17</v>
      </c>
      <c r="O7" s="15" t="s">
        <v>18</v>
      </c>
      <c r="P7" s="15" t="s">
        <v>19</v>
      </c>
      <c r="Q7" s="15" t="s">
        <v>20</v>
      </c>
      <c r="R7" s="15" t="s">
        <v>21</v>
      </c>
      <c r="S7" s="15" t="s">
        <v>22</v>
      </c>
      <c r="T7" s="10"/>
      <c r="V7">
        <v>60</v>
      </c>
      <c r="W7" s="3" t="s">
        <v>19</v>
      </c>
      <c r="Z7" s="1">
        <v>6</v>
      </c>
    </row>
    <row r="8" spans="2:26" ht="18" customHeight="1" x14ac:dyDescent="0.3">
      <c r="B8" s="9" t="s">
        <v>47</v>
      </c>
      <c r="C8" s="10">
        <v>20</v>
      </c>
      <c r="D8" s="5">
        <f>+VLOOKUP(B8,'Liste déroulante'!$B$5:$C$14,2)</f>
        <v>20</v>
      </c>
      <c r="E8" s="19" t="s">
        <v>22</v>
      </c>
      <c r="F8" s="10">
        <v>90</v>
      </c>
      <c r="G8" s="2">
        <f>+G24</f>
        <v>2000</v>
      </c>
      <c r="H8" s="2">
        <f>+H24</f>
        <v>1919</v>
      </c>
      <c r="I8" s="5">
        <f t="shared" si="0"/>
        <v>90</v>
      </c>
      <c r="J8" s="9" t="s">
        <v>5</v>
      </c>
      <c r="K8" s="15" t="s">
        <v>14</v>
      </c>
      <c r="L8" s="15" t="s">
        <v>15</v>
      </c>
      <c r="M8" s="15" t="s">
        <v>79</v>
      </c>
      <c r="N8" s="15" t="s">
        <v>17</v>
      </c>
      <c r="O8" s="15" t="s">
        <v>18</v>
      </c>
      <c r="P8" s="15" t="s">
        <v>19</v>
      </c>
      <c r="Q8" s="15" t="s">
        <v>20</v>
      </c>
      <c r="R8" s="15" t="s">
        <v>21</v>
      </c>
      <c r="S8" s="15" t="s">
        <v>22</v>
      </c>
      <c r="T8" s="10"/>
      <c r="V8">
        <v>70</v>
      </c>
      <c r="W8" s="3" t="s">
        <v>20</v>
      </c>
      <c r="Z8" s="1">
        <v>7</v>
      </c>
    </row>
    <row r="9" spans="2:26" ht="18" customHeight="1" x14ac:dyDescent="0.3">
      <c r="B9" s="9" t="s">
        <v>5</v>
      </c>
      <c r="C9" s="10">
        <v>30</v>
      </c>
      <c r="D9" s="5">
        <f>+VLOOKUP(B9,'Liste déroulante'!$B$5:$C$14,2)</f>
        <v>30</v>
      </c>
      <c r="E9" s="19" t="s">
        <v>18</v>
      </c>
      <c r="F9" s="10">
        <v>50</v>
      </c>
      <c r="G9" s="2">
        <f>+G20</f>
        <v>2006</v>
      </c>
      <c r="H9" s="2">
        <f>+H20</f>
        <v>1919</v>
      </c>
      <c r="I9" s="5">
        <f t="shared" si="0"/>
        <v>50</v>
      </c>
      <c r="J9" s="9" t="s">
        <v>48</v>
      </c>
      <c r="K9" s="15" t="s">
        <v>18</v>
      </c>
      <c r="L9" s="15" t="s">
        <v>19</v>
      </c>
      <c r="M9" s="15" t="s">
        <v>20</v>
      </c>
      <c r="N9" s="15"/>
      <c r="O9" s="15"/>
      <c r="P9" s="15"/>
      <c r="Q9" s="15"/>
      <c r="R9" s="5"/>
      <c r="S9" s="5"/>
      <c r="T9" s="10"/>
      <c r="V9">
        <v>80</v>
      </c>
      <c r="W9" s="3" t="s">
        <v>21</v>
      </c>
      <c r="Z9" s="1">
        <v>8</v>
      </c>
    </row>
    <row r="10" spans="2:26" ht="18" customHeight="1" x14ac:dyDescent="0.3">
      <c r="B10" s="9" t="s">
        <v>48</v>
      </c>
      <c r="C10" s="10">
        <v>80</v>
      </c>
      <c r="D10" s="5">
        <f>+VLOOKUP(B10,'Liste déroulante'!$B$5:$C$14,2)</f>
        <v>80</v>
      </c>
      <c r="E10" s="19" t="s">
        <v>38</v>
      </c>
      <c r="F10" s="10">
        <v>91</v>
      </c>
      <c r="G10" s="2">
        <f>+G25</f>
        <v>2000</v>
      </c>
      <c r="H10" s="2">
        <f>+H25</f>
        <v>1919</v>
      </c>
      <c r="I10" s="5">
        <f t="shared" si="0"/>
        <v>91</v>
      </c>
      <c r="J10" s="9" t="s">
        <v>2</v>
      </c>
      <c r="K10" s="15" t="s">
        <v>14</v>
      </c>
      <c r="L10" s="15" t="s">
        <v>15</v>
      </c>
      <c r="M10" s="15" t="s">
        <v>79</v>
      </c>
      <c r="N10" s="15" t="s">
        <v>17</v>
      </c>
      <c r="O10" s="15" t="s">
        <v>18</v>
      </c>
      <c r="P10" s="15" t="s">
        <v>19</v>
      </c>
      <c r="Q10" s="15" t="s">
        <v>20</v>
      </c>
      <c r="R10" s="15" t="s">
        <v>21</v>
      </c>
      <c r="S10" s="15" t="s">
        <v>22</v>
      </c>
      <c r="T10" s="21" t="s">
        <v>38</v>
      </c>
      <c r="V10">
        <v>90</v>
      </c>
      <c r="W10" s="3" t="s">
        <v>22</v>
      </c>
      <c r="Z10" s="1">
        <v>9</v>
      </c>
    </row>
    <row r="11" spans="2:26" ht="18" customHeight="1" x14ac:dyDescent="0.3">
      <c r="B11" s="9" t="s">
        <v>7</v>
      </c>
      <c r="C11" s="10">
        <v>90</v>
      </c>
      <c r="D11" s="5">
        <f>+VLOOKUP(B11,'Liste déroulante'!$B$5:$C$14,2)</f>
        <v>90</v>
      </c>
      <c r="E11" s="19" t="s">
        <v>77</v>
      </c>
      <c r="F11" s="10">
        <v>30</v>
      </c>
      <c r="G11" s="2">
        <f>+G18</f>
        <v>2008</v>
      </c>
      <c r="H11" s="2">
        <f>+H18</f>
        <v>2005</v>
      </c>
      <c r="I11" s="5">
        <f t="shared" si="0"/>
        <v>30</v>
      </c>
      <c r="J11" s="9" t="s">
        <v>50</v>
      </c>
      <c r="K11" s="15" t="s">
        <v>18</v>
      </c>
      <c r="L11" s="15" t="s">
        <v>19</v>
      </c>
      <c r="M11" s="15" t="s">
        <v>20</v>
      </c>
      <c r="N11" s="15"/>
      <c r="O11" s="15"/>
      <c r="P11" s="15"/>
      <c r="Q11" s="15"/>
      <c r="R11" s="5"/>
      <c r="S11" s="5"/>
      <c r="T11" s="10"/>
      <c r="V11">
        <v>91</v>
      </c>
      <c r="W11" s="3" t="s">
        <v>38</v>
      </c>
      <c r="Z11" s="1">
        <v>10</v>
      </c>
    </row>
    <row r="12" spans="2:26" ht="18" customHeight="1" x14ac:dyDescent="0.3">
      <c r="B12" s="9" t="s">
        <v>49</v>
      </c>
      <c r="C12" s="10">
        <v>91</v>
      </c>
      <c r="D12" s="5">
        <f>+VLOOKUP(B12,'Liste déroulante'!$B$5:$C$14,2)</f>
        <v>91</v>
      </c>
      <c r="E12" s="19" t="s">
        <v>75</v>
      </c>
      <c r="F12" s="10">
        <v>40</v>
      </c>
      <c r="G12" s="2">
        <f>+G26</f>
        <v>2006</v>
      </c>
      <c r="H12" s="2">
        <f>+H26</f>
        <v>1999</v>
      </c>
      <c r="I12" s="5">
        <f>+VLOOKUP(E12,$E$5:$F$14,2)</f>
        <v>40</v>
      </c>
      <c r="J12" s="11" t="s">
        <v>49</v>
      </c>
      <c r="K12" s="16" t="s">
        <v>18</v>
      </c>
      <c r="L12" s="16" t="s">
        <v>19</v>
      </c>
      <c r="M12" s="16" t="s">
        <v>20</v>
      </c>
      <c r="N12" s="16" t="s">
        <v>21</v>
      </c>
      <c r="O12" s="16" t="s">
        <v>22</v>
      </c>
      <c r="P12" s="12"/>
      <c r="Q12" s="12"/>
      <c r="R12" s="12"/>
      <c r="S12" s="12"/>
      <c r="T12" s="13"/>
      <c r="V12">
        <v>91</v>
      </c>
      <c r="W12" s="3" t="s">
        <v>38</v>
      </c>
      <c r="Z12" s="1">
        <v>11</v>
      </c>
    </row>
    <row r="13" spans="2:26" ht="18" customHeight="1" x14ac:dyDescent="0.3">
      <c r="B13" s="9" t="s">
        <v>2</v>
      </c>
      <c r="C13" s="10">
        <v>10</v>
      </c>
      <c r="D13" s="5">
        <f>+VLOOKUP(B13,'Liste déroulante'!$B$5:$C$14,2)</f>
        <v>10</v>
      </c>
      <c r="E13" s="19" t="s">
        <v>76</v>
      </c>
      <c r="F13" s="10">
        <v>10</v>
      </c>
      <c r="G13" s="2">
        <f>+G19</f>
        <v>2012</v>
      </c>
      <c r="H13" s="2">
        <f>+H19</f>
        <v>2009</v>
      </c>
      <c r="I13" s="5">
        <f t="shared" ref="I13:I14" si="1">+VLOOKUP(E13,$E$5:$F$14,2)</f>
        <v>10</v>
      </c>
      <c r="J13" s="9" t="s">
        <v>45</v>
      </c>
      <c r="K13" s="15" t="s">
        <v>14</v>
      </c>
      <c r="L13" s="15" t="s">
        <v>15</v>
      </c>
      <c r="M13" s="15" t="s">
        <v>79</v>
      </c>
      <c r="N13" s="15" t="s">
        <v>17</v>
      </c>
      <c r="O13" s="15" t="s">
        <v>18</v>
      </c>
      <c r="P13" s="15" t="s">
        <v>19</v>
      </c>
      <c r="Q13" s="15" t="s">
        <v>20</v>
      </c>
      <c r="R13" s="15" t="s">
        <v>21</v>
      </c>
      <c r="S13" s="5"/>
      <c r="T13" s="10"/>
      <c r="Z13" s="1">
        <v>12</v>
      </c>
    </row>
    <row r="14" spans="2:26" ht="18" customHeight="1" x14ac:dyDescent="0.3">
      <c r="B14" s="11" t="s">
        <v>50</v>
      </c>
      <c r="C14" s="13">
        <v>70</v>
      </c>
      <c r="D14" s="5">
        <f>+VLOOKUP(B14,'Liste déroulante'!$B$5:$C$14,2)</f>
        <v>70</v>
      </c>
      <c r="E14" s="20" t="s">
        <v>74</v>
      </c>
      <c r="F14" s="13">
        <v>20</v>
      </c>
      <c r="G14" s="2">
        <f>+G16</f>
        <v>2010</v>
      </c>
      <c r="H14" s="2">
        <f>+H16</f>
        <v>2007</v>
      </c>
      <c r="I14" s="5">
        <f t="shared" si="1"/>
        <v>20</v>
      </c>
      <c r="J14" s="9" t="s">
        <v>7</v>
      </c>
      <c r="K14" s="15" t="s">
        <v>14</v>
      </c>
      <c r="L14" s="15" t="s">
        <v>15</v>
      </c>
      <c r="M14" s="15" t="s">
        <v>79</v>
      </c>
      <c r="N14" s="15" t="s">
        <v>17</v>
      </c>
      <c r="O14" s="15" t="s">
        <v>18</v>
      </c>
      <c r="P14" s="15" t="s">
        <v>19</v>
      </c>
      <c r="Q14" s="15" t="s">
        <v>20</v>
      </c>
      <c r="R14" s="15" t="s">
        <v>21</v>
      </c>
      <c r="S14" s="15" t="s">
        <v>22</v>
      </c>
      <c r="T14" s="21" t="s">
        <v>38</v>
      </c>
    </row>
    <row r="16" spans="2:26" ht="18" customHeight="1" x14ac:dyDescent="0.3">
      <c r="E16" s="20" t="str">
        <f>+E14</f>
        <v>Jeune 8 - 11</v>
      </c>
      <c r="G16" s="24">
        <v>2010</v>
      </c>
      <c r="H16" s="24">
        <v>2007</v>
      </c>
      <c r="I16" s="5"/>
      <c r="J16" s="11"/>
      <c r="K16" s="16"/>
      <c r="L16" s="16"/>
      <c r="M16" s="16"/>
      <c r="N16" s="16"/>
      <c r="O16" s="16"/>
      <c r="P16" s="12"/>
      <c r="Q16" s="12"/>
      <c r="R16" s="12"/>
      <c r="S16" s="12"/>
      <c r="T16" s="13"/>
    </row>
    <row r="17" spans="5:19" ht="18" customHeight="1" x14ac:dyDescent="0.3">
      <c r="E17" s="19" t="str">
        <f>+E10</f>
        <v>Distance XXL</v>
      </c>
      <c r="G17" s="17">
        <v>2000</v>
      </c>
      <c r="H17" s="17">
        <v>1919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5:19" ht="18" customHeight="1" x14ac:dyDescent="0.3">
      <c r="E18" s="19" t="str">
        <f>+E11</f>
        <v>Jeune 10 - 13</v>
      </c>
      <c r="G18" s="24">
        <v>2008</v>
      </c>
      <c r="H18" s="24">
        <v>2005</v>
      </c>
      <c r="J18" s="26"/>
      <c r="K18" s="26"/>
      <c r="L18" s="26"/>
      <c r="M18" s="26"/>
      <c r="N18" s="26"/>
      <c r="O18" s="26"/>
      <c r="P18" s="26"/>
      <c r="Q18" s="27"/>
      <c r="R18" s="26"/>
      <c r="S18" s="26"/>
    </row>
    <row r="19" spans="5:19" ht="18" customHeight="1" x14ac:dyDescent="0.3">
      <c r="E19" s="19" t="str">
        <f>+E13</f>
        <v>Jeune 6 - 9</v>
      </c>
      <c r="G19" s="24">
        <v>2012</v>
      </c>
      <c r="H19" s="24">
        <v>2009</v>
      </c>
      <c r="J19" s="26"/>
      <c r="K19" s="26"/>
      <c r="L19" s="26"/>
      <c r="M19" s="26"/>
      <c r="N19" s="26"/>
      <c r="O19" s="26"/>
      <c r="P19" s="26"/>
      <c r="Q19" s="27"/>
      <c r="R19" s="26"/>
      <c r="S19" s="26"/>
    </row>
    <row r="20" spans="5:19" ht="18" customHeight="1" x14ac:dyDescent="0.3">
      <c r="E20" s="19" t="s">
        <v>18</v>
      </c>
      <c r="G20" s="24">
        <v>2006</v>
      </c>
      <c r="H20" s="24">
        <v>1919</v>
      </c>
      <c r="J20" s="26"/>
      <c r="K20" s="26"/>
      <c r="L20" s="26"/>
      <c r="M20" s="26"/>
      <c r="N20" s="26"/>
      <c r="O20" s="26"/>
      <c r="P20" s="26"/>
      <c r="Q20" s="27"/>
      <c r="R20" s="26"/>
      <c r="S20" s="26"/>
    </row>
    <row r="21" spans="5:19" ht="18" customHeight="1" x14ac:dyDescent="0.3">
      <c r="E21" s="19" t="s">
        <v>19</v>
      </c>
      <c r="G21" s="24">
        <v>2002</v>
      </c>
      <c r="H21" s="24">
        <v>1919</v>
      </c>
      <c r="J21" s="26"/>
      <c r="K21" s="26"/>
      <c r="L21" s="26"/>
      <c r="M21" s="26"/>
      <c r="N21" s="26"/>
      <c r="O21" s="26"/>
      <c r="P21" s="26"/>
      <c r="Q21" s="27"/>
      <c r="R21" s="26"/>
      <c r="S21" s="26"/>
    </row>
    <row r="22" spans="5:19" ht="18" customHeight="1" x14ac:dyDescent="0.3">
      <c r="E22" s="19" t="s">
        <v>20</v>
      </c>
      <c r="G22" s="17">
        <v>2000</v>
      </c>
      <c r="H22" s="17">
        <v>1919</v>
      </c>
      <c r="J22" s="26"/>
      <c r="K22" s="26"/>
      <c r="L22" s="26"/>
      <c r="M22" s="26"/>
      <c r="N22" s="26"/>
      <c r="O22" s="26"/>
      <c r="P22" s="26"/>
      <c r="Q22" s="27"/>
      <c r="R22" s="26"/>
      <c r="S22" s="26"/>
    </row>
    <row r="23" spans="5:19" ht="18" customHeight="1" x14ac:dyDescent="0.3">
      <c r="E23" s="19" t="s">
        <v>21</v>
      </c>
      <c r="G23" s="17">
        <v>2000</v>
      </c>
      <c r="H23" s="17">
        <v>1919</v>
      </c>
      <c r="J23" s="26"/>
      <c r="K23" s="26"/>
      <c r="L23" s="26"/>
      <c r="M23" s="26"/>
      <c r="N23" s="26"/>
      <c r="O23" s="26"/>
      <c r="P23" s="26"/>
      <c r="Q23" s="27"/>
      <c r="R23" s="26"/>
      <c r="S23" s="26"/>
    </row>
    <row r="24" spans="5:19" ht="18" customHeight="1" x14ac:dyDescent="0.3">
      <c r="E24" s="19" t="s">
        <v>22</v>
      </c>
      <c r="G24" s="17">
        <v>2000</v>
      </c>
      <c r="H24" s="17">
        <v>1919</v>
      </c>
      <c r="J24" s="26"/>
      <c r="K24" s="26"/>
      <c r="L24" s="26"/>
      <c r="M24" s="26"/>
      <c r="N24" s="26"/>
      <c r="O24" s="26"/>
      <c r="P24" s="26"/>
      <c r="Q24" s="27"/>
      <c r="R24" s="26"/>
      <c r="S24" s="26"/>
    </row>
    <row r="25" spans="5:19" ht="18" customHeight="1" x14ac:dyDescent="0.3">
      <c r="E25" s="19" t="s">
        <v>38</v>
      </c>
      <c r="G25" s="17">
        <v>2000</v>
      </c>
      <c r="H25" s="17">
        <v>1919</v>
      </c>
      <c r="J25" s="26"/>
      <c r="K25" s="26"/>
      <c r="L25" s="26"/>
      <c r="M25" s="26"/>
      <c r="N25" s="26"/>
      <c r="O25" s="26"/>
      <c r="P25" s="26"/>
      <c r="Q25" s="27"/>
      <c r="R25" s="26"/>
      <c r="S25" s="26"/>
    </row>
    <row r="26" spans="5:19" ht="18" customHeight="1" x14ac:dyDescent="0.3">
      <c r="E26" s="19" t="s">
        <v>75</v>
      </c>
      <c r="G26" s="25">
        <v>2006</v>
      </c>
      <c r="H26" s="25">
        <v>1999</v>
      </c>
      <c r="J26" s="26"/>
      <c r="K26" s="26"/>
      <c r="L26" s="26"/>
      <c r="M26" s="26"/>
      <c r="N26" s="26"/>
      <c r="O26" s="26"/>
      <c r="P26" s="26"/>
      <c r="Q26" s="27"/>
      <c r="R26" s="26"/>
      <c r="S26" s="26"/>
    </row>
    <row r="27" spans="5:19" ht="18" customHeight="1" x14ac:dyDescent="0.3"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5:19" ht="18" customHeight="1" x14ac:dyDescent="0.3"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5:19" ht="18" customHeight="1" x14ac:dyDescent="0.3"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5:19" ht="18" customHeight="1" x14ac:dyDescent="0.3">
      <c r="J30" s="26"/>
      <c r="K30" s="26"/>
      <c r="L30" s="26"/>
      <c r="M30" s="26"/>
      <c r="N30" s="26"/>
      <c r="O30" s="26"/>
      <c r="P30" s="26"/>
      <c r="Q30" s="26"/>
      <c r="R30" s="26"/>
      <c r="S30" s="26"/>
    </row>
  </sheetData>
  <sheetProtection algorithmName="SHA-512" hashValue="j40nkE6SSt5ZxjJMoVvImNO9OdSNsoVk8tSeql7VuNFR7w6xuOLL8FPlv1Z6fxpr/fZS6mGz0CLmG0fwnp13Xg==" saltValue="H0BVZqHheg7jVHuX9AFKQQ==" spinCount="100000" sheet="1" objects="1" scenarios="1" selectLockedCells="1" selectUnlockedCells="1"/>
  <sortState ref="B5:C14">
    <sortCondition ref="B5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14</vt:i4>
      </vt:variant>
    </vt:vector>
  </HeadingPairs>
  <TitlesOfParts>
    <vt:vector size="18" baseType="lpstr">
      <vt:lpstr>Données</vt:lpstr>
      <vt:lpstr>AGE</vt:lpstr>
      <vt:lpstr>Visualisation</vt:lpstr>
      <vt:lpstr>Liste déroulante</vt:lpstr>
      <vt:lpstr>Aquathlon</vt:lpstr>
      <vt:lpstr>Bike_and_Run</vt:lpstr>
      <vt:lpstr>Catégorie_d_âge</vt:lpstr>
      <vt:lpstr>Cross_Duathlon</vt:lpstr>
      <vt:lpstr>Cross_Triathlon</vt:lpstr>
      <vt:lpstr>Disciplines_m</vt:lpstr>
      <vt:lpstr>Disciplines_t</vt:lpstr>
      <vt:lpstr>Duathlon</vt:lpstr>
      <vt:lpstr>Duathlon_des_neiges</vt:lpstr>
      <vt:lpstr>Raid</vt:lpstr>
      <vt:lpstr>Swim_Run</vt:lpstr>
      <vt:lpstr>Triathlon</vt:lpstr>
      <vt:lpstr>Triathon_des_neiges</vt:lpstr>
      <vt:lpstr>Type_d_épreuve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</dc:creator>
  <cp:lastModifiedBy>Windows User</cp:lastModifiedBy>
  <cp:lastPrinted>2018-05-10T16:11:55Z</cp:lastPrinted>
  <dcterms:created xsi:type="dcterms:W3CDTF">2018-05-08T05:58:19Z</dcterms:created>
  <dcterms:modified xsi:type="dcterms:W3CDTF">2018-12-13T14:18:13Z</dcterms:modified>
</cp:coreProperties>
</file>